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8130"/>
  </bookViews>
  <sheets>
    <sheet name="USES OF FUND AS PER PIM" sheetId="1" r:id="rId1"/>
    <sheet name="SOURCES AND USE OF FUND" sheetId="2" r:id="rId2"/>
    <sheet name="EEP STATEMENT" sheetId="3" r:id="rId3"/>
    <sheet name="DLI STATEMENTS" sheetId="4" r:id="rId4"/>
    <sheet name="SOURCES &amp; USES OF FUND ANNEX" sheetId="5" r:id="rId5"/>
  </sheets>
  <calcPr calcId="124519"/>
</workbook>
</file>

<file path=xl/calcChain.xml><?xml version="1.0" encoding="utf-8"?>
<calcChain xmlns="http://schemas.openxmlformats.org/spreadsheetml/2006/main">
  <c r="F65" i="2"/>
  <c r="F59" l="1"/>
  <c r="F10" i="4"/>
  <c r="F9"/>
  <c r="F8"/>
  <c r="F7"/>
  <c r="E10"/>
  <c r="E9"/>
  <c r="E8"/>
  <c r="E7"/>
  <c r="D10"/>
  <c r="D9"/>
  <c r="D8"/>
  <c r="D7"/>
  <c r="C20" i="3"/>
  <c r="C16"/>
  <c r="I29" i="5"/>
  <c r="I28"/>
  <c r="I25"/>
  <c r="I23"/>
  <c r="I20"/>
  <c r="D35"/>
  <c r="I16"/>
  <c r="I14"/>
  <c r="H25" i="1"/>
  <c r="D21" i="5"/>
  <c r="H108" i="1"/>
  <c r="G104"/>
  <c r="F104"/>
  <c r="E104"/>
  <c r="G103"/>
  <c r="C70" i="2"/>
  <c r="C62"/>
  <c r="C61"/>
  <c r="G102" i="1"/>
  <c r="C48" i="2"/>
  <c r="C39"/>
  <c r="C31"/>
  <c r="B39"/>
  <c r="C23"/>
  <c r="G100" i="1"/>
  <c r="G99"/>
  <c r="G98"/>
  <c r="G97"/>
  <c r="G96"/>
  <c r="G95"/>
  <c r="G94"/>
  <c r="G93"/>
  <c r="G92"/>
  <c r="G91"/>
  <c r="E100"/>
  <c r="F100"/>
  <c r="G88"/>
  <c r="F88"/>
  <c r="E88"/>
  <c r="G87"/>
  <c r="G86"/>
  <c r="G85"/>
  <c r="G84"/>
  <c r="G83"/>
  <c r="G82"/>
  <c r="G81"/>
  <c r="G80"/>
  <c r="G79"/>
  <c r="G75"/>
  <c r="G74"/>
  <c r="G73"/>
  <c r="G72"/>
  <c r="G71"/>
  <c r="G70"/>
  <c r="G76" s="1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F76"/>
  <c r="E76"/>
  <c r="C40" i="2" l="1"/>
  <c r="G32" i="1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F32"/>
  <c r="E32"/>
  <c r="B20" i="3" l="1"/>
  <c r="B16"/>
  <c r="B70" i="2"/>
  <c r="B61"/>
  <c r="B48"/>
  <c r="B40"/>
  <c r="B31"/>
  <c r="B23"/>
  <c r="C104" i="1"/>
  <c r="D103"/>
  <c r="D102"/>
  <c r="C100"/>
  <c r="B100"/>
  <c r="B104" s="1"/>
  <c r="D99"/>
  <c r="D98"/>
  <c r="D97"/>
  <c r="D96"/>
  <c r="D95"/>
  <c r="D94"/>
  <c r="D93"/>
  <c r="D92"/>
  <c r="D91"/>
  <c r="C88"/>
  <c r="B88"/>
  <c r="D88" s="1"/>
  <c r="D87"/>
  <c r="D86"/>
  <c r="D85"/>
  <c r="D84"/>
  <c r="D83"/>
  <c r="D82"/>
  <c r="D81"/>
  <c r="D80"/>
  <c r="D79"/>
  <c r="C76"/>
  <c r="B76"/>
  <c r="D76" s="1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C32"/>
  <c r="B32"/>
  <c r="D32" s="1"/>
  <c r="D31"/>
  <c r="D30"/>
  <c r="D29"/>
  <c r="D28"/>
  <c r="D27"/>
  <c r="D26"/>
  <c r="D24"/>
  <c r="D25" s="1"/>
  <c r="D23"/>
  <c r="D22"/>
  <c r="D21"/>
  <c r="D20"/>
  <c r="D19"/>
  <c r="D16"/>
  <c r="D15"/>
  <c r="D14"/>
  <c r="B62" i="2" l="1"/>
  <c r="C7" i="4"/>
  <c r="C8"/>
  <c r="C9"/>
  <c r="C10"/>
  <c r="D104" i="1"/>
  <c r="D100"/>
  <c r="D27" i="5" l="1"/>
  <c r="D18"/>
  <c r="E12"/>
  <c r="D12"/>
  <c r="D16" s="1"/>
  <c r="D45" l="1"/>
</calcChain>
</file>

<file path=xl/sharedStrings.xml><?xml version="1.0" encoding="utf-8"?>
<sst xmlns="http://schemas.openxmlformats.org/spreadsheetml/2006/main" count="248" uniqueCount="214">
  <si>
    <t>CENTRE OF EXCELLENCE IN AGRICULTURAL DEVELOPMENT AND SUSTAINABLE ENVIRONMNENT (CEADESE)</t>
  </si>
  <si>
    <t>AFRICA HIGHER EDUCATION CENTERS OF EXCELLENCE PROJECT</t>
  </si>
  <si>
    <t>Uses of Funds by project activities</t>
  </si>
  <si>
    <t>(NAIRA)</t>
  </si>
  <si>
    <t>Expenditure</t>
  </si>
  <si>
    <t>Cummulative for</t>
  </si>
  <si>
    <t>Explanation of</t>
  </si>
  <si>
    <t xml:space="preserve">PAD /Life of </t>
  </si>
  <si>
    <t>Revised</t>
  </si>
  <si>
    <t>Variance</t>
  </si>
  <si>
    <t>Project</t>
  </si>
  <si>
    <t>PAD</t>
  </si>
  <si>
    <t>Actual</t>
  </si>
  <si>
    <t>Planned</t>
  </si>
  <si>
    <t>Expenditure Classification 1 as per Project Implementation Plan</t>
  </si>
  <si>
    <t>Cost of running CEADESE office</t>
  </si>
  <si>
    <t>Cost of stationery and consumables</t>
  </si>
  <si>
    <t>Cost of developing Implementation Plan</t>
  </si>
  <si>
    <t>Cost of signing MOUs</t>
  </si>
  <si>
    <t>Cost of adverts/contacts</t>
  </si>
  <si>
    <t>Cost of coordinating CEADESE meetings</t>
  </si>
  <si>
    <t>Cost of hosting stakeholders' workshops</t>
  </si>
  <si>
    <t>Cost of attending World Bank meetings and Workshops</t>
  </si>
  <si>
    <t>Cost of training (Management and Faculty)</t>
  </si>
  <si>
    <t>Travels (local &amp; international)</t>
  </si>
  <si>
    <t>Running of CEADESE website</t>
  </si>
  <si>
    <t>Facilitation of FUNAAB industrial relations</t>
  </si>
  <si>
    <t>Cost of Monitoring &amp; Evaluation</t>
  </si>
  <si>
    <t>Sub Total</t>
  </si>
  <si>
    <t>Expenditure Classification 2 as per Project Implementation Plan</t>
  </si>
  <si>
    <t>Cost of Teaching Materials and softwares</t>
  </si>
  <si>
    <t>Cost of Advertisement</t>
  </si>
  <si>
    <t>Honoraria for Resource persons and Demonstrators</t>
  </si>
  <si>
    <t>Operational costs for workshops</t>
  </si>
  <si>
    <t>Airfare, accommodation, honoraria for facilitors</t>
  </si>
  <si>
    <t>Publication of workshop reports</t>
  </si>
  <si>
    <t>Cost of running language course M.Agse</t>
  </si>
  <si>
    <t xml:space="preserve">Payment to adjunct/part time lecturers/visiting professors M.Agse </t>
  </si>
  <si>
    <t>Operational Costs M.Agse</t>
  </si>
  <si>
    <t>Cost of course materials M.Agse</t>
  </si>
  <si>
    <t>Stationery M.Agse</t>
  </si>
  <si>
    <t>Cost of exam materials and invigilation M.Agse</t>
  </si>
  <si>
    <t>Cost of scholarship Awards (M.agse)</t>
  </si>
  <si>
    <t>Cost of running language course PhD</t>
  </si>
  <si>
    <t>Payment to adjunct/part time lecturers/visiting professors PhD</t>
  </si>
  <si>
    <t>Cost of adverts/contacts PhD</t>
  </si>
  <si>
    <t>Cost of course materials PhD</t>
  </si>
  <si>
    <t>Stationery PhD</t>
  </si>
  <si>
    <t>Cost of exam materials and invigilation PhD</t>
  </si>
  <si>
    <t>Cost of scholarship Awards (PhD)</t>
  </si>
  <si>
    <t>Travel and Maintenance expenses by M.Agse students</t>
  </si>
  <si>
    <t>Travel and Maintenance expenses by PhD Agse students</t>
  </si>
  <si>
    <t>Travel and Supervision expenses for Faculty</t>
  </si>
  <si>
    <t>Operational Cost</t>
  </si>
  <si>
    <t>Cost of Stationery</t>
  </si>
  <si>
    <t>Administrative Fee for Resource Verification</t>
  </si>
  <si>
    <t>Costs of publications (page charges)</t>
  </si>
  <si>
    <t>Inpur for Externally Generated Revenue</t>
  </si>
  <si>
    <t>Cost of ICT learning platform</t>
  </si>
  <si>
    <t>Cost of civil works</t>
  </si>
  <si>
    <t>Cost of equipment and lab purchases</t>
  </si>
  <si>
    <t>Establishment of research core facilities</t>
  </si>
  <si>
    <t>Expenditure Classification 3 as per Project Implementation Plan</t>
  </si>
  <si>
    <t xml:space="preserve">Cost of Upgrading/running Accounting system </t>
  </si>
  <si>
    <t>Cost of Training</t>
  </si>
  <si>
    <t>Cost of hiring external auditor</t>
  </si>
  <si>
    <t>Web transparency on financial management (web-access to audit reports, interim financial reports, budgets and annual work-plan)</t>
  </si>
  <si>
    <t>Expenditure Classification 4 as per Project Implementation Plan</t>
  </si>
  <si>
    <t>Cost of hiring Procurement Consultant</t>
  </si>
  <si>
    <t>Cost of producing procurement manual</t>
  </si>
  <si>
    <t>Cost of producing bid documents</t>
  </si>
  <si>
    <t>Cost of bid advertisement</t>
  </si>
  <si>
    <t>cost of holding bid opening</t>
  </si>
  <si>
    <t>Cost of bid evaluation</t>
  </si>
  <si>
    <t>Cost of training</t>
  </si>
  <si>
    <t>Bank Charges</t>
  </si>
  <si>
    <t xml:space="preserve">Grand Total Uses of Funds </t>
  </si>
  <si>
    <t>Work on the PAD/Life of project for the period</t>
  </si>
  <si>
    <t>Grand total of the funds</t>
  </si>
  <si>
    <t xml:space="preserve">AFRICA HIGHER EDUCATION CENTERS OF EXCELLENCE PROJECT </t>
  </si>
  <si>
    <t>Statement of Sources and Uses of Funds</t>
  </si>
  <si>
    <t xml:space="preserve">Cummulative for  </t>
  </si>
  <si>
    <t>Sources of Fund</t>
  </si>
  <si>
    <t>Opening Cash Balance</t>
  </si>
  <si>
    <t xml:space="preserve">Government Funds  </t>
  </si>
  <si>
    <t>Total</t>
  </si>
  <si>
    <t>Add Receipts</t>
  </si>
  <si>
    <t>Government Funds</t>
  </si>
  <si>
    <t xml:space="preserve">         Income from  Application fee                                    </t>
  </si>
  <si>
    <t xml:space="preserve">         Income from Student fee                                         </t>
  </si>
  <si>
    <t xml:space="preserve">         Income from workshops</t>
  </si>
  <si>
    <t>Total Financing</t>
  </si>
  <si>
    <t>Less:  ACE Expenditure as per Project Implementation Plan</t>
  </si>
  <si>
    <t>DLI1</t>
  </si>
  <si>
    <t>DLI2</t>
  </si>
  <si>
    <t>DLI3</t>
  </si>
  <si>
    <t>DLI4</t>
  </si>
  <si>
    <t>Total Uses of Funds by Components</t>
  </si>
  <si>
    <t>Total uses of Funds from other funds</t>
  </si>
  <si>
    <t>Closing Balances</t>
  </si>
  <si>
    <t xml:space="preserve">Government Funds </t>
  </si>
  <si>
    <t>Total Closing Cash Balance</t>
  </si>
  <si>
    <t>Semi-Annual Period ending……30th June 2018</t>
  </si>
  <si>
    <t>for the period ending 30th September 2018</t>
  </si>
  <si>
    <t>AFRICA HIGHER EDUCATION CENTERS OF EXCELLENCE PROJECT (126974)</t>
  </si>
  <si>
    <t xml:space="preserve">Statement of Reimbursable Eligible Expenditure Programs (EEPs) </t>
  </si>
  <si>
    <t>Eligible Expenditure Program (EEP)</t>
  </si>
  <si>
    <t>PAD/Life of Project</t>
  </si>
  <si>
    <t>EEP 1: Salaries</t>
  </si>
  <si>
    <t>Total EEPs</t>
  </si>
  <si>
    <t xml:space="preserve">Work on cummulative for the life of  project for each Centre </t>
  </si>
  <si>
    <t>NOTES ANNEX</t>
  </si>
  <si>
    <t>DISBURSEMENT LINKED TO INDICATORS</t>
  </si>
  <si>
    <t>ACTIONS TO BE COMPLETED</t>
  </si>
  <si>
    <t>STATUS OF ACTIONS COMPLETION</t>
  </si>
  <si>
    <t>AMOUNT ALLOCATED</t>
  </si>
  <si>
    <t>AMOUNT DISBURSED</t>
  </si>
  <si>
    <t>UNDISBURSED BALANCE</t>
  </si>
  <si>
    <t>Training (Management and Faculty)</t>
  </si>
  <si>
    <t xml:space="preserve">Meeting milestones for improved learning and research environment                                        </t>
  </si>
  <si>
    <t>Consultant  and Travel Costs</t>
  </si>
  <si>
    <t>Consultant Costs, including project implementation and administration staff</t>
  </si>
  <si>
    <t>Travel, Accommodation,  and Per Diem</t>
  </si>
  <si>
    <t>Travel and Accomodation</t>
  </si>
  <si>
    <t xml:space="preserve">Per Diem </t>
  </si>
  <si>
    <t>i.</t>
  </si>
  <si>
    <t>International travel</t>
  </si>
  <si>
    <t>ii.</t>
  </si>
  <si>
    <t>Domestic travel</t>
  </si>
  <si>
    <t>Total (Travel, Accommodation, and Per Diem)</t>
  </si>
  <si>
    <t>Training and conference fees</t>
  </si>
  <si>
    <t>Goods and equipment</t>
  </si>
  <si>
    <t xml:space="preserve">Learning and Research Equipment </t>
  </si>
  <si>
    <t>Vehicles</t>
  </si>
  <si>
    <t>Other goods incl. reagents</t>
  </si>
  <si>
    <t>Total Goods and Equipment</t>
  </si>
  <si>
    <t>Scholarship Payments</t>
  </si>
  <si>
    <t>Scholarship Payments/research support</t>
  </si>
  <si>
    <t>ACE Hosted Workshops and Seminars</t>
  </si>
  <si>
    <t>Workshops and Seminars</t>
  </si>
  <si>
    <t>Civil Works</t>
  </si>
  <si>
    <t>Civil works, including rehabilitation and new construction</t>
  </si>
  <si>
    <t>Marketing, Communication, and Recruitment</t>
  </si>
  <si>
    <t>Communication and Marketing, including website</t>
  </si>
  <si>
    <t>General Expenses</t>
  </si>
  <si>
    <t>Operating costs including utilities, banking fees etc.</t>
  </si>
  <si>
    <t xml:space="preserve">Other </t>
  </si>
  <si>
    <t>GRAND TOTAL</t>
  </si>
  <si>
    <t>The schedule below provide additional details on expenditures summarized in the Sources and Uses of Funds covering the period  01-01-2018 to 30-06-2018.</t>
  </si>
  <si>
    <t>Semi-Annual Period ending 30th June, 2018</t>
  </si>
  <si>
    <t>Financial Year End 31st December, 2018</t>
  </si>
  <si>
    <t>Planned @ N305/$</t>
  </si>
  <si>
    <t>Cost of running Project Vehicle</t>
  </si>
  <si>
    <t>Facilitation of FUNAAB Safeguard office</t>
  </si>
  <si>
    <t>Facilitation of FUNAAB Communication Office</t>
  </si>
  <si>
    <t>ADVANCE FROM IGR</t>
  </si>
  <si>
    <t>Cost of developing /revising curricula M.Agse</t>
  </si>
  <si>
    <t xml:space="preserve">Cost of adverts/contacts </t>
  </si>
  <si>
    <t>Cost of developing/revising curricula PhD</t>
  </si>
  <si>
    <t>Operational Cost Ph.D</t>
  </si>
  <si>
    <t>National or Regional Accreditation</t>
  </si>
  <si>
    <t>International Accreditation</t>
  </si>
  <si>
    <t>Cost of research support</t>
  </si>
  <si>
    <t>Costs of research theses/dissertations  for  70 students</t>
  </si>
  <si>
    <t>Training of financial Officer in World Bank guidelines and fiduciary methods</t>
  </si>
  <si>
    <t xml:space="preserve"> Cost of meetings (audit committees)</t>
  </si>
  <si>
    <t xml:space="preserve">Cost of auditing  accounts </t>
  </si>
  <si>
    <t xml:space="preserve">Operational Cost </t>
  </si>
  <si>
    <t>Other Expenditure from IGR</t>
  </si>
  <si>
    <t>Naira</t>
  </si>
  <si>
    <t>TSA Naira Account (project account)</t>
  </si>
  <si>
    <t>World Bank IDA Funds (Project Account Zenith Bank)</t>
  </si>
  <si>
    <t>Student Fees and Others (IGR Account Zenith Bank)</t>
  </si>
  <si>
    <t>Unaab Microfinance Bank</t>
  </si>
  <si>
    <t>TSA Dollar Account @ prevailing rate</t>
  </si>
  <si>
    <t>World Bank IDA Funds (DISBURSEMENT)</t>
  </si>
  <si>
    <t>Earned Disbursement for Verified result into TSA Dollar Account   @ prevailing rate</t>
  </si>
  <si>
    <t>Direct Payment from NUC less Refund</t>
  </si>
  <si>
    <t>Refund of unspent advances into TSA Naira project account</t>
  </si>
  <si>
    <t>Receipt from Other funds</t>
  </si>
  <si>
    <t xml:space="preserve">         Refund of unspent advances in other payment</t>
  </si>
  <si>
    <t>Bidding Fee</t>
  </si>
  <si>
    <t>USE OF FUNDS FROM OTHER SOURCES</t>
  </si>
  <si>
    <t>Payment of first and second semester Honorarium 2016/2017 Academic session to CEADESE Course lecturers</t>
  </si>
  <si>
    <t xml:space="preserve">refund </t>
  </si>
  <si>
    <t xml:space="preserve">payment of shortfall of rent of acccomodation for fadama guys </t>
  </si>
  <si>
    <t>Audit board meeting allowance</t>
  </si>
  <si>
    <t>Bank Charges on IGR Zenith</t>
  </si>
  <si>
    <t>Bank Charges on Unaab Microfinance Bank</t>
  </si>
  <si>
    <t>TSA Dollar Account</t>
  </si>
  <si>
    <t>TSA Naira  Account</t>
  </si>
  <si>
    <t>Financial Period End</t>
  </si>
  <si>
    <t>for the  period ending 30th September, 2018</t>
  </si>
  <si>
    <t>Semi-Annual Period ending June 2018</t>
  </si>
  <si>
    <t xml:space="preserve">EEP 2: Non Procurable Expenditure as defined in Financing Agreement </t>
  </si>
  <si>
    <t>for the semi-annual period ending Financial Year End 3oth September, 2018</t>
  </si>
  <si>
    <t>Financial Period End September 2018</t>
  </si>
  <si>
    <t xml:space="preserve">Trainings for Audit committee members                                                          </t>
  </si>
  <si>
    <t>Engagement of Procurement Consultant</t>
  </si>
  <si>
    <t>NOTE: The N8,843550.00K charged to input for externally generated revenue is in respect of amount of honorarium paid to resource persons for the two international workshops at $19,000 and $10,000 respectively for climate change and e-learning workshops. The relevant exchange rate was $1: N304,95</t>
  </si>
  <si>
    <t>Honorarium</t>
  </si>
  <si>
    <t>Cost of Repairs and general maintenance</t>
  </si>
  <si>
    <t>refund  of students fees</t>
  </si>
  <si>
    <t>refund of workshop fee</t>
  </si>
  <si>
    <t>refund of third party fund on product testing trial</t>
  </si>
  <si>
    <t>refund of bidding fee</t>
  </si>
  <si>
    <t xml:space="preserve">NOTE: The Zenith Project account has been closed and balance transferred to TSA naira account. However, the TSA naira account is yet to reflect this movement. </t>
  </si>
  <si>
    <t>o/c</t>
  </si>
  <si>
    <t>others</t>
  </si>
  <si>
    <t>DOLLAR @ N305.45/$</t>
  </si>
  <si>
    <t>CREDIT INTEREST ($991.49 @N305.45K)</t>
  </si>
  <si>
    <t>103974.55*305.45</t>
  </si>
  <si>
    <t>$1:N305.45</t>
  </si>
  <si>
    <t>$1:N304.95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</si>
</sst>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Tahoma"/>
      <family val="2"/>
    </font>
    <font>
      <sz val="8"/>
      <color rgb="FF000000"/>
      <name val="Tahoma"/>
      <family val="2"/>
    </font>
    <font>
      <sz val="8"/>
      <name val="Calibri"/>
      <family val="2"/>
      <scheme val="minor"/>
    </font>
    <font>
      <sz val="9"/>
      <name val="Arial Narrow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Tahoma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9"/>
      <name val="Arial"/>
      <family val="2"/>
    </font>
    <font>
      <b/>
      <u val="doubleAccounting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sz val="8"/>
      <color rgb="FF000000"/>
      <name val="Cambria"/>
      <family val="1"/>
      <scheme val="major"/>
    </font>
    <font>
      <sz val="8"/>
      <name val="Cambria"/>
      <family val="1"/>
      <scheme val="major"/>
    </font>
    <font>
      <sz val="10"/>
      <color rgb="FF000000"/>
      <name val="Cambria"/>
      <family val="1"/>
      <scheme val="major"/>
    </font>
    <font>
      <sz val="8"/>
      <color indexed="8"/>
      <name val="Tahoma"/>
      <family val="2"/>
    </font>
    <font>
      <b/>
      <sz val="8"/>
      <name val="Cambria"/>
      <family val="1"/>
      <scheme val="major"/>
    </font>
    <font>
      <sz val="10"/>
      <color theme="5"/>
      <name val="Cambria"/>
      <family val="1"/>
      <scheme val="major"/>
    </font>
    <font>
      <b/>
      <sz val="8"/>
      <color rgb="FF00000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sz val="8"/>
      <color indexed="8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indexed="8"/>
      <name val="Cambria"/>
      <family val="1"/>
      <scheme val="major"/>
    </font>
    <font>
      <sz val="8"/>
      <color theme="1"/>
      <name val="Tahoma"/>
      <family val="2"/>
    </font>
    <font>
      <b/>
      <sz val="11"/>
      <color rgb="FF000000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name val="Cambria"/>
      <family val="1"/>
      <scheme val="maj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2"/>
      <name val="Cambria"/>
      <family val="1"/>
      <scheme val="major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8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8" fillId="0" borderId="10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horizontal="right" vertical="center"/>
    </xf>
    <xf numFmtId="43" fontId="12" fillId="0" borderId="10" xfId="0" applyNumberFormat="1" applyFont="1" applyBorder="1" applyAlignment="1">
      <alignment vertical="center"/>
    </xf>
    <xf numFmtId="43" fontId="9" fillId="0" borderId="10" xfId="0" applyNumberFormat="1" applyFont="1" applyBorder="1" applyAlignment="1">
      <alignment horizontal="right" vertical="center"/>
    </xf>
    <xf numFmtId="43" fontId="13" fillId="0" borderId="10" xfId="0" applyNumberFormat="1" applyFont="1" applyBorder="1" applyAlignment="1">
      <alignment vertical="center"/>
    </xf>
    <xf numFmtId="4" fontId="15" fillId="0" borderId="10" xfId="0" applyNumberFormat="1" applyFont="1" applyBorder="1" applyAlignment="1">
      <alignment horizontal="right" vertical="center"/>
    </xf>
    <xf numFmtId="43" fontId="11" fillId="0" borderId="10" xfId="0" applyNumberFormat="1" applyFont="1" applyBorder="1" applyAlignment="1"/>
    <xf numFmtId="4" fontId="18" fillId="0" borderId="10" xfId="0" applyNumberFormat="1" applyFont="1" applyBorder="1" applyAlignment="1">
      <alignment horizontal="right"/>
    </xf>
    <xf numFmtId="4" fontId="18" fillId="0" borderId="10" xfId="0" applyNumberFormat="1" applyFont="1" applyBorder="1" applyAlignment="1">
      <alignment horizontal="right" vertical="center"/>
    </xf>
    <xf numFmtId="0" fontId="11" fillId="3" borderId="10" xfId="0" applyFont="1" applyFill="1" applyBorder="1" applyAlignment="1">
      <alignment vertical="center"/>
    </xf>
    <xf numFmtId="43" fontId="11" fillId="0" borderId="10" xfId="0" applyNumberFormat="1" applyFont="1" applyBorder="1" applyAlignment="1">
      <alignment vertical="center"/>
    </xf>
    <xf numFmtId="43" fontId="10" fillId="0" borderId="10" xfId="0" applyNumberFormat="1" applyFont="1" applyBorder="1" applyAlignment="1">
      <alignment horizontal="right" vertical="center"/>
    </xf>
    <xf numFmtId="43" fontId="0" fillId="0" borderId="10" xfId="0" applyNumberFormat="1" applyBorder="1"/>
    <xf numFmtId="43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5" fillId="0" borderId="4" xfId="0" applyFont="1" applyBorder="1" applyAlignment="1">
      <alignment horizontal="center" wrapText="1"/>
    </xf>
    <xf numFmtId="43" fontId="7" fillId="0" borderId="10" xfId="0" applyNumberFormat="1" applyFont="1" applyBorder="1"/>
    <xf numFmtId="0" fontId="20" fillId="4" borderId="10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/>
    <xf numFmtId="0" fontId="23" fillId="0" borderId="0" xfId="0" applyFont="1" applyAlignment="1"/>
    <xf numFmtId="3" fontId="23" fillId="0" borderId="0" xfId="0" applyNumberFormat="1" applyFont="1" applyBorder="1" applyAlignment="1"/>
    <xf numFmtId="0" fontId="24" fillId="0" borderId="0" xfId="0" applyFont="1" applyAlignment="1"/>
    <xf numFmtId="0" fontId="24" fillId="0" borderId="0" xfId="0" applyFont="1" applyBorder="1" applyAlignment="1"/>
    <xf numFmtId="0" fontId="24" fillId="0" borderId="35" xfId="0" applyFont="1" applyBorder="1" applyAlignment="1"/>
    <xf numFmtId="3" fontId="25" fillId="5" borderId="0" xfId="0" applyNumberFormat="1" applyFont="1" applyFill="1" applyAlignment="1">
      <alignment vertical="top" wrapText="1"/>
    </xf>
    <xf numFmtId="0" fontId="26" fillId="0" borderId="0" xfId="0" applyFont="1" applyAlignment="1"/>
    <xf numFmtId="3" fontId="23" fillId="0" borderId="0" xfId="0" applyNumberFormat="1" applyFont="1" applyAlignment="1"/>
    <xf numFmtId="43" fontId="23" fillId="0" borderId="0" xfId="1" applyFont="1" applyAlignment="1"/>
    <xf numFmtId="43" fontId="23" fillId="0" borderId="35" xfId="1" applyFont="1" applyBorder="1" applyAlignment="1"/>
    <xf numFmtId="43" fontId="24" fillId="0" borderId="0" xfId="1" applyFont="1" applyAlignment="1"/>
    <xf numFmtId="43" fontId="23" fillId="0" borderId="0" xfId="1" applyFont="1" applyBorder="1" applyAlignment="1"/>
    <xf numFmtId="43" fontId="24" fillId="0" borderId="35" xfId="1" applyFont="1" applyBorder="1" applyAlignment="1"/>
    <xf numFmtId="43" fontId="24" fillId="0" borderId="0" xfId="1" applyFont="1" applyBorder="1" applyAlignment="1"/>
    <xf numFmtId="43" fontId="23" fillId="0" borderId="0" xfId="1" applyFont="1" applyFill="1" applyAlignment="1"/>
    <xf numFmtId="43" fontId="23" fillId="0" borderId="35" xfId="1" applyFont="1" applyFill="1" applyBorder="1" applyAlignment="1"/>
    <xf numFmtId="43" fontId="23" fillId="0" borderId="0" xfId="1" applyFont="1" applyFill="1" applyBorder="1" applyAlignment="1"/>
    <xf numFmtId="0" fontId="23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10" xfId="0" applyBorder="1" applyAlignment="1"/>
    <xf numFmtId="0" fontId="0" fillId="0" borderId="10" xfId="0" applyBorder="1" applyAlignment="1">
      <alignment wrapText="1"/>
    </xf>
    <xf numFmtId="0" fontId="3" fillId="0" borderId="10" xfId="0" applyFont="1" applyBorder="1" applyAlignment="1">
      <alignment horizontal="left" wrapText="1"/>
    </xf>
    <xf numFmtId="0" fontId="27" fillId="0" borderId="10" xfId="0" applyFont="1" applyBorder="1" applyAlignment="1"/>
    <xf numFmtId="43" fontId="28" fillId="0" borderId="10" xfId="0" applyNumberFormat="1" applyFont="1" applyBorder="1" applyAlignment="1"/>
    <xf numFmtId="4" fontId="28" fillId="0" borderId="10" xfId="0" applyNumberFormat="1" applyFont="1" applyBorder="1" applyAlignment="1">
      <alignment horizontal="right" vertical="center"/>
    </xf>
    <xf numFmtId="43" fontId="29" fillId="0" borderId="10" xfId="0" applyNumberFormat="1" applyFont="1" applyBorder="1" applyAlignment="1">
      <alignment vertical="center"/>
    </xf>
    <xf numFmtId="0" fontId="27" fillId="0" borderId="10" xfId="0" applyFont="1" applyBorder="1" applyAlignment="1">
      <alignment vertical="top"/>
    </xf>
    <xf numFmtId="0" fontId="29" fillId="0" borderId="10" xfId="0" applyFont="1" applyFill="1" applyBorder="1" applyAlignment="1"/>
    <xf numFmtId="0" fontId="29" fillId="0" borderId="10" xfId="0" applyNumberFormat="1" applyFont="1" applyBorder="1" applyAlignment="1">
      <alignment vertical="center"/>
    </xf>
    <xf numFmtId="0" fontId="29" fillId="0" borderId="10" xfId="0" applyFont="1" applyBorder="1" applyAlignment="1">
      <alignment horizontal="left"/>
    </xf>
    <xf numFmtId="0" fontId="11" fillId="0" borderId="10" xfId="0" applyFont="1" applyBorder="1" applyAlignment="1"/>
    <xf numFmtId="43" fontId="30" fillId="0" borderId="10" xfId="0" applyNumberFormat="1" applyFont="1" applyBorder="1" applyAlignment="1">
      <alignment vertical="center"/>
    </xf>
    <xf numFmtId="4" fontId="29" fillId="0" borderId="10" xfId="0" applyNumberFormat="1" applyFont="1" applyBorder="1" applyAlignment="1">
      <alignment vertical="center"/>
    </xf>
    <xf numFmtId="43" fontId="30" fillId="0" borderId="10" xfId="0" applyNumberFormat="1" applyFont="1" applyBorder="1" applyAlignment="1"/>
    <xf numFmtId="43" fontId="29" fillId="0" borderId="10" xfId="0" applyNumberFormat="1" applyFont="1" applyBorder="1" applyAlignment="1"/>
    <xf numFmtId="0" fontId="29" fillId="0" borderId="10" xfId="0" applyFont="1" applyFill="1" applyBorder="1" applyAlignment="1">
      <alignment horizontal="left"/>
    </xf>
    <xf numFmtId="0" fontId="27" fillId="0" borderId="10" xfId="0" applyFont="1" applyFill="1" applyBorder="1" applyAlignment="1"/>
    <xf numFmtId="0" fontId="32" fillId="0" borderId="10" xfId="0" applyFont="1" applyBorder="1" applyAlignment="1"/>
    <xf numFmtId="43" fontId="32" fillId="0" borderId="10" xfId="0" applyNumberFormat="1" applyFont="1" applyBorder="1" applyAlignment="1">
      <alignment vertical="center"/>
    </xf>
    <xf numFmtId="43" fontId="14" fillId="0" borderId="10" xfId="0" applyNumberFormat="1" applyFont="1" applyBorder="1" applyAlignment="1">
      <alignment vertical="center"/>
    </xf>
    <xf numFmtId="0" fontId="29" fillId="2" borderId="10" xfId="0" applyFont="1" applyFill="1" applyBorder="1" applyAlignment="1"/>
    <xf numFmtId="0" fontId="17" fillId="2" borderId="10" xfId="0" applyFont="1" applyFill="1" applyBorder="1" applyAlignment="1"/>
    <xf numFmtId="43" fontId="33" fillId="6" borderId="10" xfId="0" applyNumberFormat="1" applyFont="1" applyFill="1" applyBorder="1" applyAlignment="1">
      <alignment vertical="center"/>
    </xf>
    <xf numFmtId="0" fontId="29" fillId="0" borderId="10" xfId="0" applyFont="1" applyBorder="1" applyAlignment="1">
      <alignment horizontal="left" wrapText="1"/>
    </xf>
    <xf numFmtId="0" fontId="29" fillId="0" borderId="10" xfId="0" applyFont="1" applyBorder="1" applyAlignment="1"/>
    <xf numFmtId="0" fontId="17" fillId="0" borderId="10" xfId="0" applyFont="1" applyBorder="1" applyAlignment="1"/>
    <xf numFmtId="43" fontId="12" fillId="0" borderId="10" xfId="0" applyNumberFormat="1" applyFont="1" applyBorder="1" applyAlignment="1"/>
    <xf numFmtId="43" fontId="17" fillId="0" borderId="10" xfId="0" applyNumberFormat="1" applyFont="1" applyBorder="1" applyAlignment="1"/>
    <xf numFmtId="43" fontId="29" fillId="0" borderId="10" xfId="0" applyNumberFormat="1" applyFont="1" applyBorder="1" applyAlignment="1">
      <alignment horizontal="right" vertical="center"/>
    </xf>
    <xf numFmtId="43" fontId="8" fillId="0" borderId="10" xfId="0" applyNumberFormat="1" applyFont="1" applyBorder="1" applyAlignment="1"/>
    <xf numFmtId="43" fontId="29" fillId="0" borderId="10" xfId="1" applyFont="1" applyBorder="1" applyAlignment="1">
      <alignment vertical="center"/>
    </xf>
    <xf numFmtId="0" fontId="27" fillId="0" borderId="10" xfId="0" applyFont="1" applyBorder="1" applyAlignment="1">
      <alignment horizontal="left"/>
    </xf>
    <xf numFmtId="0" fontId="27" fillId="0" borderId="10" xfId="0" applyFont="1" applyBorder="1" applyAlignment="1">
      <alignment horizontal="justify"/>
    </xf>
    <xf numFmtId="43" fontId="32" fillId="0" borderId="10" xfId="0" applyNumberFormat="1" applyFont="1" applyBorder="1" applyAlignment="1"/>
    <xf numFmtId="43" fontId="13" fillId="0" borderId="10" xfId="0" applyNumberFormat="1" applyFont="1" applyBorder="1" applyAlignment="1"/>
    <xf numFmtId="0" fontId="32" fillId="2" borderId="10" xfId="0" applyFont="1" applyFill="1" applyBorder="1" applyAlignment="1"/>
    <xf numFmtId="43" fontId="29" fillId="2" borderId="10" xfId="0" applyNumberFormat="1" applyFont="1" applyFill="1" applyBorder="1" applyAlignment="1"/>
    <xf numFmtId="43" fontId="30" fillId="6" borderId="10" xfId="0" applyNumberFormat="1" applyFont="1" applyFill="1" applyBorder="1" applyAlignment="1">
      <alignment vertical="center"/>
    </xf>
    <xf numFmtId="0" fontId="32" fillId="0" borderId="10" xfId="0" applyFont="1" applyBorder="1" applyAlignment="1">
      <alignment horizontal="left"/>
    </xf>
    <xf numFmtId="43" fontId="29" fillId="3" borderId="10" xfId="0" applyNumberFormat="1" applyFont="1" applyFill="1" applyBorder="1" applyAlignment="1"/>
    <xf numFmtId="0" fontId="29" fillId="3" borderId="10" xfId="0" applyFont="1" applyFill="1" applyBorder="1" applyAlignment="1"/>
    <xf numFmtId="0" fontId="17" fillId="3" borderId="10" xfId="0" applyFont="1" applyFill="1" applyBorder="1" applyAlignment="1"/>
    <xf numFmtId="0" fontId="27" fillId="0" borderId="10" xfId="0" applyFont="1" applyBorder="1" applyAlignment="1">
      <alignment wrapText="1"/>
    </xf>
    <xf numFmtId="0" fontId="11" fillId="3" borderId="10" xfId="0" applyFont="1" applyFill="1" applyBorder="1" applyAlignment="1"/>
    <xf numFmtId="43" fontId="11" fillId="3" borderId="10" xfId="0" applyNumberFormat="1" applyFont="1" applyFill="1" applyBorder="1" applyAlignment="1"/>
    <xf numFmtId="0" fontId="29" fillId="0" borderId="10" xfId="0" applyFont="1" applyBorder="1" applyAlignment="1">
      <alignment wrapText="1"/>
    </xf>
    <xf numFmtId="43" fontId="30" fillId="6" borderId="10" xfId="0" applyNumberFormat="1" applyFont="1" applyFill="1" applyBorder="1" applyAlignment="1"/>
    <xf numFmtId="0" fontId="32" fillId="0" borderId="10" xfId="0" applyFont="1" applyBorder="1" applyAlignment="1">
      <alignment horizontal="left" wrapText="1"/>
    </xf>
    <xf numFmtId="43" fontId="29" fillId="3" borderId="10" xfId="0" applyNumberFormat="1" applyFont="1" applyFill="1" applyBorder="1" applyAlignment="1">
      <alignment vertical="center"/>
    </xf>
    <xf numFmtId="43" fontId="34" fillId="0" borderId="10" xfId="0" applyNumberFormat="1" applyFont="1" applyBorder="1" applyAlignment="1"/>
    <xf numFmtId="43" fontId="17" fillId="3" borderId="10" xfId="0" applyNumberFormat="1" applyFont="1" applyFill="1" applyBorder="1" applyAlignment="1"/>
    <xf numFmtId="43" fontId="0" fillId="0" borderId="10" xfId="0" applyNumberFormat="1" applyBorder="1" applyAlignment="1"/>
    <xf numFmtId="4" fontId="34" fillId="0" borderId="10" xfId="0" applyNumberFormat="1" applyFont="1" applyBorder="1" applyAlignment="1">
      <alignment horizontal="right" vertical="center"/>
    </xf>
    <xf numFmtId="43" fontId="0" fillId="6" borderId="10" xfId="0" applyNumberFormat="1" applyFill="1" applyBorder="1" applyAlignment="1"/>
    <xf numFmtId="43" fontId="16" fillId="0" borderId="10" xfId="0" applyNumberFormat="1" applyFont="1" applyBorder="1" applyAlignment="1"/>
    <xf numFmtId="0" fontId="7" fillId="0" borderId="10" xfId="0" applyFont="1" applyBorder="1" applyAlignment="1"/>
    <xf numFmtId="43" fontId="14" fillId="0" borderId="10" xfId="0" applyNumberFormat="1" applyFont="1" applyBorder="1" applyAlignment="1"/>
    <xf numFmtId="4" fontId="14" fillId="0" borderId="10" xfId="0" applyNumberFormat="1" applyFont="1" applyBorder="1" applyAlignment="1"/>
    <xf numFmtId="43" fontId="0" fillId="0" borderId="0" xfId="0" applyNumberFormat="1" applyAlignme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7" fontId="6" fillId="0" borderId="25" xfId="0" applyNumberFormat="1" applyFont="1" applyBorder="1" applyAlignment="1">
      <alignment horizontal="center" wrapText="1"/>
    </xf>
    <xf numFmtId="0" fontId="0" fillId="0" borderId="21" xfId="0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33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26" xfId="0" applyBorder="1" applyAlignment="1">
      <alignment wrapText="1"/>
    </xf>
    <xf numFmtId="43" fontId="0" fillId="0" borderId="10" xfId="1" applyFont="1" applyBorder="1" applyAlignment="1">
      <alignment wrapText="1"/>
    </xf>
    <xf numFmtId="0" fontId="0" fillId="0" borderId="27" xfId="0" applyBorder="1" applyAlignment="1">
      <alignment wrapText="1"/>
    </xf>
    <xf numFmtId="0" fontId="32" fillId="0" borderId="11" xfId="0" applyFont="1" applyBorder="1" applyAlignment="1">
      <alignment wrapText="1"/>
    </xf>
    <xf numFmtId="43" fontId="0" fillId="0" borderId="10" xfId="1" applyFont="1" applyBorder="1"/>
    <xf numFmtId="4" fontId="17" fillId="0" borderId="10" xfId="0" applyNumberFormat="1" applyFont="1" applyBorder="1" applyAlignment="1">
      <alignment horizontal="right" vertical="center" wrapText="1"/>
    </xf>
    <xf numFmtId="0" fontId="29" fillId="0" borderId="11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43" fontId="35" fillId="0" borderId="10" xfId="1" applyFont="1" applyBorder="1" applyAlignment="1">
      <alignment horizontal="right" vertical="center" wrapText="1"/>
    </xf>
    <xf numFmtId="0" fontId="32" fillId="0" borderId="6" xfId="0" applyFont="1" applyBorder="1" applyAlignment="1">
      <alignment wrapText="1"/>
    </xf>
    <xf numFmtId="4" fontId="36" fillId="0" borderId="10" xfId="0" applyNumberFormat="1" applyFont="1" applyBorder="1" applyAlignment="1">
      <alignment wrapText="1"/>
    </xf>
    <xf numFmtId="0" fontId="37" fillId="0" borderId="23" xfId="0" applyFont="1" applyBorder="1" applyAlignment="1">
      <alignment horizontal="left" wrapText="1"/>
    </xf>
    <xf numFmtId="0" fontId="29" fillId="0" borderId="9" xfId="0" applyFont="1" applyBorder="1" applyAlignment="1">
      <alignment wrapText="1"/>
    </xf>
    <xf numFmtId="43" fontId="17" fillId="0" borderId="27" xfId="0" applyNumberFormat="1" applyFont="1" applyBorder="1" applyAlignment="1">
      <alignment wrapText="1"/>
    </xf>
    <xf numFmtId="0" fontId="32" fillId="0" borderId="10" xfId="0" applyFont="1" applyBorder="1" applyAlignment="1">
      <alignment wrapText="1"/>
    </xf>
    <xf numFmtId="43" fontId="38" fillId="0" borderId="12" xfId="1" applyFont="1" applyBorder="1" applyAlignment="1">
      <alignment horizontal="right" vertical="top" wrapText="1"/>
    </xf>
    <xf numFmtId="0" fontId="39" fillId="0" borderId="10" xfId="0" applyFont="1" applyBorder="1" applyAlignment="1">
      <alignment wrapText="1"/>
    </xf>
    <xf numFmtId="43" fontId="40" fillId="0" borderId="10" xfId="1" applyFont="1" applyBorder="1" applyAlignment="1">
      <alignment wrapText="1"/>
    </xf>
    <xf numFmtId="43" fontId="41" fillId="0" borderId="12" xfId="1" applyFont="1" applyBorder="1" applyAlignment="1">
      <alignment horizontal="right" vertical="top" wrapText="1"/>
    </xf>
    <xf numFmtId="43" fontId="17" fillId="0" borderId="10" xfId="0" applyNumberFormat="1" applyFont="1" applyBorder="1" applyAlignment="1">
      <alignment wrapText="1"/>
    </xf>
    <xf numFmtId="43" fontId="35" fillId="0" borderId="10" xfId="1" applyFont="1" applyBorder="1" applyAlignment="1">
      <alignment wrapText="1"/>
    </xf>
    <xf numFmtId="4" fontId="42" fillId="0" borderId="10" xfId="0" applyNumberFormat="1" applyFont="1" applyBorder="1" applyAlignment="1">
      <alignment wrapText="1"/>
    </xf>
    <xf numFmtId="0" fontId="27" fillId="0" borderId="10" xfId="0" applyFont="1" applyBorder="1" applyAlignment="1">
      <alignment horizontal="left" wrapText="1"/>
    </xf>
    <xf numFmtId="43" fontId="41" fillId="0" borderId="10" xfId="1" applyFont="1" applyBorder="1" applyAlignment="1">
      <alignment wrapText="1"/>
    </xf>
    <xf numFmtId="43" fontId="43" fillId="0" borderId="0" xfId="1" applyFont="1" applyAlignment="1">
      <alignment vertical="center" wrapText="1"/>
    </xf>
    <xf numFmtId="0" fontId="39" fillId="0" borderId="10" xfId="0" applyFont="1" applyBorder="1" applyAlignment="1">
      <alignment horizontal="left" wrapText="1"/>
    </xf>
    <xf numFmtId="43" fontId="27" fillId="0" borderId="10" xfId="1" applyFont="1" applyBorder="1" applyAlignment="1">
      <alignment horizontal="right" wrapText="1"/>
    </xf>
    <xf numFmtId="43" fontId="1" fillId="0" borderId="10" xfId="1" applyFont="1" applyBorder="1"/>
    <xf numFmtId="43" fontId="2" fillId="0" borderId="10" xfId="1" applyFont="1" applyBorder="1"/>
    <xf numFmtId="0" fontId="44" fillId="0" borderId="10" xfId="0" applyFont="1" applyBorder="1" applyAlignment="1">
      <alignment wrapText="1"/>
    </xf>
    <xf numFmtId="0" fontId="29" fillId="2" borderId="21" xfId="0" applyFont="1" applyFill="1" applyBorder="1" applyAlignment="1">
      <alignment wrapText="1"/>
    </xf>
    <xf numFmtId="43" fontId="29" fillId="2" borderId="5" xfId="1" applyFont="1" applyFill="1" applyBorder="1" applyAlignment="1">
      <alignment wrapText="1"/>
    </xf>
    <xf numFmtId="43" fontId="17" fillId="2" borderId="20" xfId="0" applyNumberFormat="1" applyFont="1" applyFill="1" applyBorder="1" applyAlignment="1">
      <alignment wrapText="1"/>
    </xf>
    <xf numFmtId="43" fontId="35" fillId="0" borderId="11" xfId="0" applyNumberFormat="1" applyFont="1" applyBorder="1" applyAlignment="1">
      <alignment wrapText="1"/>
    </xf>
    <xf numFmtId="43" fontId="35" fillId="0" borderId="10" xfId="0" applyNumberFormat="1" applyFont="1" applyBorder="1" applyAlignment="1">
      <alignment wrapText="1"/>
    </xf>
    <xf numFmtId="43" fontId="36" fillId="0" borderId="11" xfId="0" applyNumberFormat="1" applyFont="1" applyBorder="1" applyAlignment="1">
      <alignment wrapText="1"/>
    </xf>
    <xf numFmtId="43" fontId="29" fillId="0" borderId="9" xfId="0" applyNumberFormat="1" applyFont="1" applyBorder="1" applyAlignment="1">
      <alignment wrapText="1"/>
    </xf>
    <xf numFmtId="0" fontId="38" fillId="0" borderId="10" xfId="0" applyFont="1" applyBorder="1" applyAlignment="1">
      <alignment horizontal="left" wrapText="1"/>
    </xf>
    <xf numFmtId="4" fontId="41" fillId="0" borderId="10" xfId="0" applyNumberFormat="1" applyFont="1" applyBorder="1" applyAlignment="1">
      <alignment horizontal="right" wrapText="1"/>
    </xf>
    <xf numFmtId="0" fontId="38" fillId="0" borderId="6" xfId="0" applyFont="1" applyBorder="1" applyAlignment="1">
      <alignment horizontal="left" vertical="top" wrapText="1"/>
    </xf>
    <xf numFmtId="43" fontId="36" fillId="0" borderId="31" xfId="0" applyNumberFormat="1" applyFont="1" applyBorder="1" applyAlignment="1">
      <alignment vertical="center" wrapText="1"/>
    </xf>
    <xf numFmtId="43" fontId="2" fillId="0" borderId="32" xfId="0" applyNumberFormat="1" applyFont="1" applyBorder="1" applyAlignment="1">
      <alignment wrapText="1"/>
    </xf>
    <xf numFmtId="43" fontId="36" fillId="0" borderId="36" xfId="0" applyNumberFormat="1" applyFont="1" applyBorder="1" applyAlignment="1">
      <alignment vertical="center" wrapText="1"/>
    </xf>
    <xf numFmtId="0" fontId="44" fillId="5" borderId="31" xfId="0" applyFont="1" applyFill="1" applyBorder="1" applyAlignment="1">
      <alignment wrapText="1"/>
    </xf>
    <xf numFmtId="4" fontId="36" fillId="5" borderId="15" xfId="0" applyNumberFormat="1" applyFont="1" applyFill="1" applyBorder="1" applyAlignment="1">
      <alignment wrapText="1"/>
    </xf>
    <xf numFmtId="43" fontId="17" fillId="5" borderId="32" xfId="0" applyNumberFormat="1" applyFont="1" applyFill="1" applyBorder="1" applyAlignment="1">
      <alignment wrapText="1"/>
    </xf>
    <xf numFmtId="0" fontId="45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43" fontId="0" fillId="0" borderId="0" xfId="1" applyFont="1"/>
    <xf numFmtId="4" fontId="35" fillId="0" borderId="10" xfId="0" applyNumberFormat="1" applyFont="1" applyBorder="1" applyAlignment="1">
      <alignment horizontal="right" vertical="center" wrapText="1"/>
    </xf>
    <xf numFmtId="43" fontId="45" fillId="0" borderId="10" xfId="0" applyNumberFormat="1" applyFont="1" applyBorder="1" applyAlignment="1">
      <alignment wrapText="1"/>
    </xf>
    <xf numFmtId="0" fontId="32" fillId="0" borderId="31" xfId="0" applyFont="1" applyBorder="1" applyAlignment="1">
      <alignment wrapText="1"/>
    </xf>
    <xf numFmtId="43" fontId="36" fillId="0" borderId="15" xfId="0" applyNumberFormat="1" applyFont="1" applyBorder="1" applyAlignment="1">
      <alignment wrapText="1"/>
    </xf>
    <xf numFmtId="0" fontId="0" fillId="0" borderId="2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4" xfId="0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43" fontId="2" fillId="0" borderId="0" xfId="0" applyNumberFormat="1" applyFont="1"/>
    <xf numFmtId="43" fontId="0" fillId="0" borderId="10" xfId="0" applyNumberFormat="1" applyBorder="1" applyAlignment="1">
      <alignment wrapText="1"/>
    </xf>
    <xf numFmtId="0" fontId="5" fillId="0" borderId="4" xfId="0" applyFont="1" applyBorder="1" applyAlignment="1">
      <alignment wrapText="1"/>
    </xf>
    <xf numFmtId="43" fontId="21" fillId="0" borderId="1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10" xfId="0" applyBorder="1" applyAlignment="1">
      <alignment horizontal="right" wrapText="1"/>
    </xf>
    <xf numFmtId="0" fontId="5" fillId="0" borderId="19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0" fillId="0" borderId="28" xfId="0" applyBorder="1" applyAlignment="1">
      <alignment wrapText="1"/>
    </xf>
    <xf numFmtId="0" fontId="3" fillId="0" borderId="30" xfId="0" applyFont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8" xfId="0" applyFill="1" applyBorder="1" applyAlignment="1">
      <alignment wrapText="1"/>
    </xf>
    <xf numFmtId="43" fontId="22" fillId="0" borderId="0" xfId="0" applyNumberFormat="1" applyFont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46" fillId="0" borderId="10" xfId="0" applyFont="1" applyBorder="1" applyAlignment="1">
      <alignment wrapText="1"/>
    </xf>
    <xf numFmtId="10" fontId="46" fillId="0" borderId="10" xfId="2" applyNumberFormat="1" applyFont="1" applyBorder="1" applyAlignment="1">
      <alignment wrapText="1"/>
    </xf>
    <xf numFmtId="44" fontId="46" fillId="0" borderId="10" xfId="0" applyNumberFormat="1" applyFont="1" applyBorder="1" applyAlignment="1">
      <alignment wrapText="1"/>
    </xf>
    <xf numFmtId="44" fontId="40" fillId="0" borderId="10" xfId="0" applyNumberFormat="1" applyFont="1" applyBorder="1" applyAlignment="1">
      <alignment wrapText="1"/>
    </xf>
    <xf numFmtId="10" fontId="0" fillId="0" borderId="10" xfId="0" applyNumberFormat="1" applyBorder="1" applyAlignment="1">
      <alignment wrapText="1"/>
    </xf>
    <xf numFmtId="43" fontId="13" fillId="0" borderId="0" xfId="0" applyNumberFormat="1" applyFont="1" applyAlignment="1">
      <alignment wrapText="1"/>
    </xf>
    <xf numFmtId="43" fontId="13" fillId="0" borderId="9" xfId="0" applyNumberFormat="1" applyFont="1" applyBorder="1" applyAlignment="1">
      <alignment vertical="center" wrapText="1"/>
    </xf>
    <xf numFmtId="43" fontId="12" fillId="0" borderId="10" xfId="1" applyFont="1" applyBorder="1" applyAlignment="1">
      <alignment vertical="center"/>
    </xf>
    <xf numFmtId="43" fontId="11" fillId="0" borderId="10" xfId="1" applyFont="1" applyBorder="1" applyAlignment="1"/>
    <xf numFmtId="43" fontId="8" fillId="0" borderId="10" xfId="1" applyFont="1" applyBorder="1" applyAlignment="1">
      <alignment vertical="center"/>
    </xf>
    <xf numFmtId="43" fontId="31" fillId="0" borderId="10" xfId="1" applyFont="1" applyBorder="1" applyAlignment="1">
      <alignment vertical="top"/>
    </xf>
    <xf numFmtId="43" fontId="13" fillId="0" borderId="10" xfId="1" applyFont="1" applyBorder="1" applyAlignment="1">
      <alignment vertical="center"/>
    </xf>
    <xf numFmtId="43" fontId="17" fillId="2" borderId="10" xfId="1" applyFont="1" applyFill="1" applyBorder="1" applyAlignment="1"/>
    <xf numFmtId="43" fontId="17" fillId="0" borderId="10" xfId="1" applyFont="1" applyBorder="1" applyAlignment="1"/>
    <xf numFmtId="43" fontId="12" fillId="0" borderId="10" xfId="1" applyFont="1" applyBorder="1" applyAlignment="1"/>
    <xf numFmtId="43" fontId="8" fillId="0" borderId="10" xfId="1" applyFont="1" applyBorder="1" applyAlignment="1"/>
    <xf numFmtId="43" fontId="13" fillId="0" borderId="10" xfId="1" applyFont="1" applyBorder="1" applyAlignment="1"/>
    <xf numFmtId="43" fontId="29" fillId="0" borderId="10" xfId="1" applyFont="1" applyBorder="1" applyAlignment="1"/>
    <xf numFmtId="43" fontId="41" fillId="0" borderId="0" xfId="1" applyFont="1" applyBorder="1" applyAlignment="1">
      <alignment wrapText="1"/>
    </xf>
    <xf numFmtId="43" fontId="41" fillId="0" borderId="1" xfId="1" applyFont="1" applyBorder="1" applyAlignment="1">
      <alignment wrapText="1"/>
    </xf>
    <xf numFmtId="4" fontId="47" fillId="0" borderId="10" xfId="0" applyNumberFormat="1" applyFont="1" applyBorder="1" applyAlignment="1">
      <alignment vertical="top" wrapText="1"/>
    </xf>
    <xf numFmtId="43" fontId="7" fillId="0" borderId="10" xfId="1" applyFont="1" applyBorder="1" applyAlignment="1">
      <alignment wrapText="1"/>
    </xf>
    <xf numFmtId="0" fontId="48" fillId="0" borderId="10" xfId="0" applyFont="1" applyBorder="1" applyAlignment="1">
      <alignment vertical="top" wrapText="1"/>
    </xf>
    <xf numFmtId="43" fontId="1" fillId="0" borderId="10" xfId="1" applyFont="1" applyBorder="1" applyAlignment="1">
      <alignment wrapText="1"/>
    </xf>
    <xf numFmtId="43" fontId="47" fillId="0" borderId="10" xfId="1" applyFont="1" applyBorder="1" applyAlignment="1">
      <alignment horizontal="left" vertical="top" wrapText="1"/>
    </xf>
    <xf numFmtId="43" fontId="49" fillId="0" borderId="32" xfId="1" applyFont="1" applyBorder="1" applyAlignment="1">
      <alignment wrapText="1"/>
    </xf>
    <xf numFmtId="4" fontId="35" fillId="0" borderId="10" xfId="0" applyNumberFormat="1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3" fontId="23" fillId="5" borderId="0" xfId="1" applyFont="1" applyFill="1" applyAlignment="1">
      <alignment vertical="top"/>
    </xf>
    <xf numFmtId="43" fontId="23" fillId="5" borderId="0" xfId="1" applyFont="1" applyFill="1" applyAlignment="1"/>
    <xf numFmtId="0" fontId="3" fillId="0" borderId="0" xfId="0" applyFont="1" applyAlignment="1"/>
    <xf numFmtId="0" fontId="4" fillId="0" borderId="0" xfId="0" applyFont="1" applyAlignment="1"/>
    <xf numFmtId="0" fontId="23" fillId="0" borderId="0" xfId="0" applyFont="1" applyAlignment="1">
      <alignment wrapText="1"/>
    </xf>
    <xf numFmtId="0" fontId="23" fillId="5" borderId="0" xfId="0" applyFont="1" applyFill="1" applyAlignment="1"/>
    <xf numFmtId="43" fontId="0" fillId="0" borderId="10" xfId="1" applyFont="1" applyBorder="1" applyAlignment="1">
      <alignment horizontal="right" wrapText="1"/>
    </xf>
    <xf numFmtId="43" fontId="2" fillId="0" borderId="10" xfId="1" applyFont="1" applyBorder="1" applyAlignment="1">
      <alignment wrapText="1"/>
    </xf>
    <xf numFmtId="43" fontId="2" fillId="0" borderId="28" xfId="0" applyNumberFormat="1" applyFont="1" applyBorder="1" applyAlignment="1">
      <alignment wrapText="1"/>
    </xf>
    <xf numFmtId="43" fontId="51" fillId="0" borderId="10" xfId="0" applyNumberFormat="1" applyFont="1" applyBorder="1" applyAlignment="1">
      <alignment wrapText="1"/>
    </xf>
    <xf numFmtId="43" fontId="52" fillId="0" borderId="10" xfId="0" applyNumberFormat="1" applyFont="1" applyBorder="1" applyAlignment="1">
      <alignment wrapText="1"/>
    </xf>
    <xf numFmtId="43" fontId="50" fillId="0" borderId="14" xfId="0" applyNumberFormat="1" applyFont="1" applyBorder="1" applyAlignment="1">
      <alignment wrapText="1"/>
    </xf>
    <xf numFmtId="43" fontId="53" fillId="0" borderId="14" xfId="1" applyFont="1" applyBorder="1" applyAlignment="1">
      <alignment wrapText="1"/>
    </xf>
    <xf numFmtId="43" fontId="50" fillId="0" borderId="24" xfId="0" applyNumberFormat="1" applyFont="1" applyBorder="1" applyAlignment="1">
      <alignment wrapText="1"/>
    </xf>
    <xf numFmtId="43" fontId="23" fillId="0" borderId="29" xfId="1" applyFont="1" applyBorder="1" applyAlignment="1">
      <alignment wrapText="1"/>
    </xf>
    <xf numFmtId="43" fontId="23" fillId="0" borderId="32" xfId="0" applyNumberFormat="1" applyFont="1" applyBorder="1" applyAlignment="1">
      <alignment wrapText="1"/>
    </xf>
    <xf numFmtId="43" fontId="54" fillId="0" borderId="32" xfId="0" applyNumberFormat="1" applyFont="1" applyBorder="1" applyAlignment="1">
      <alignment wrapText="1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abSelected="1" topLeftCell="A92" workbookViewId="0">
      <selection activeCell="H67" sqref="H67"/>
    </sheetView>
  </sheetViews>
  <sheetFormatPr defaultRowHeight="15"/>
  <cols>
    <col min="1" max="1" width="29.5703125" customWidth="1"/>
    <col min="2" max="2" width="17.140625" customWidth="1"/>
    <col min="3" max="3" width="17.28515625" customWidth="1"/>
    <col min="4" max="4" width="17.7109375" customWidth="1"/>
    <col min="5" max="5" width="13" customWidth="1"/>
    <col min="6" max="6" width="16.140625" customWidth="1"/>
    <col min="7" max="7" width="15" customWidth="1"/>
    <col min="8" max="8" width="28.7109375" customWidth="1"/>
  </cols>
  <sheetData>
    <row r="1" spans="1:10">
      <c r="A1" s="248" t="s">
        <v>0</v>
      </c>
      <c r="B1" s="248"/>
      <c r="C1" s="248"/>
      <c r="D1" s="248"/>
      <c r="E1" s="248"/>
      <c r="F1" s="248"/>
      <c r="G1" s="248"/>
      <c r="H1" s="248"/>
      <c r="I1" s="52"/>
      <c r="J1" s="33"/>
    </row>
    <row r="2" spans="1:10">
      <c r="A2" s="249" t="s">
        <v>1</v>
      </c>
      <c r="B2" s="249"/>
      <c r="C2" s="249"/>
      <c r="D2" s="249"/>
      <c r="E2" s="249"/>
      <c r="F2" s="249"/>
      <c r="G2" s="249"/>
      <c r="H2" s="249"/>
      <c r="I2" s="53"/>
      <c r="J2" s="33"/>
    </row>
    <row r="3" spans="1:10">
      <c r="A3" s="248" t="s">
        <v>2</v>
      </c>
      <c r="B3" s="248"/>
      <c r="C3" s="248"/>
      <c r="D3" s="248"/>
      <c r="E3" s="248"/>
      <c r="F3" s="248"/>
      <c r="G3" s="248"/>
      <c r="H3" s="248"/>
      <c r="I3" s="52"/>
      <c r="J3" s="33"/>
    </row>
    <row r="4" spans="1:10">
      <c r="A4" s="248" t="s">
        <v>103</v>
      </c>
      <c r="B4" s="248"/>
      <c r="C4" s="248"/>
      <c r="D4" s="248"/>
      <c r="E4" s="248"/>
      <c r="F4" s="248"/>
      <c r="G4" s="248"/>
      <c r="H4" s="248"/>
      <c r="I4" s="52"/>
      <c r="J4" s="33"/>
    </row>
    <row r="5" spans="1:10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>
      <c r="A6" s="33"/>
      <c r="B6" s="33"/>
      <c r="C6" s="33"/>
      <c r="D6" s="33"/>
      <c r="E6" s="54" t="s">
        <v>3</v>
      </c>
      <c r="F6" s="33"/>
      <c r="G6" s="33"/>
      <c r="H6" s="33"/>
      <c r="I6" s="52"/>
      <c r="J6" s="33"/>
    </row>
    <row r="7" spans="1:10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>
      <c r="A8" s="1"/>
      <c r="B8" s="1"/>
      <c r="C8" s="2"/>
      <c r="D8" s="3"/>
      <c r="E8" s="1"/>
      <c r="F8" s="2"/>
      <c r="G8" s="3"/>
      <c r="H8" s="3"/>
      <c r="I8" s="3"/>
      <c r="J8" s="3"/>
    </row>
    <row r="9" spans="1:10">
      <c r="A9" s="4"/>
      <c r="B9" s="245"/>
      <c r="C9" s="246"/>
      <c r="D9" s="247"/>
      <c r="E9" s="245"/>
      <c r="F9" s="246"/>
      <c r="G9" s="247"/>
      <c r="H9" s="5"/>
      <c r="I9" s="5"/>
      <c r="J9" s="5"/>
    </row>
    <row r="10" spans="1:10">
      <c r="A10" s="6" t="s">
        <v>4</v>
      </c>
      <c r="B10" s="242" t="s">
        <v>149</v>
      </c>
      <c r="C10" s="243"/>
      <c r="D10" s="244"/>
      <c r="E10" s="245" t="s">
        <v>5</v>
      </c>
      <c r="F10" s="246"/>
      <c r="G10" s="247"/>
      <c r="H10" s="5" t="s">
        <v>6</v>
      </c>
      <c r="I10" s="5" t="s">
        <v>7</v>
      </c>
      <c r="J10" s="5" t="s">
        <v>8</v>
      </c>
    </row>
    <row r="11" spans="1:10" ht="39">
      <c r="A11" s="7"/>
      <c r="B11" s="7"/>
      <c r="C11" s="8"/>
      <c r="D11" s="9"/>
      <c r="E11" s="10"/>
      <c r="F11" s="55" t="s">
        <v>150</v>
      </c>
      <c r="G11" s="9"/>
      <c r="H11" s="11" t="s">
        <v>9</v>
      </c>
      <c r="I11" s="11" t="s">
        <v>10</v>
      </c>
      <c r="J11" s="11" t="s">
        <v>11</v>
      </c>
    </row>
    <row r="12" spans="1:10" ht="30">
      <c r="A12" s="56"/>
      <c r="B12" s="57" t="s">
        <v>12</v>
      </c>
      <c r="C12" s="57" t="s">
        <v>151</v>
      </c>
      <c r="D12" s="56" t="s">
        <v>9</v>
      </c>
      <c r="E12" s="56" t="s">
        <v>12</v>
      </c>
      <c r="F12" s="56" t="s">
        <v>13</v>
      </c>
      <c r="G12" s="56" t="s">
        <v>9</v>
      </c>
      <c r="H12" s="56"/>
      <c r="I12" s="56"/>
      <c r="J12" s="56"/>
    </row>
    <row r="13" spans="1:10" ht="39">
      <c r="A13" s="58" t="s">
        <v>14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0">
      <c r="A14" s="59" t="s">
        <v>15</v>
      </c>
      <c r="B14" s="30">
        <v>729540</v>
      </c>
      <c r="C14" s="60">
        <v>2440000</v>
      </c>
      <c r="D14" s="61">
        <f>C14-B14</f>
        <v>1710460</v>
      </c>
      <c r="E14" s="12">
        <v>1885270</v>
      </c>
      <c r="F14" s="60">
        <v>2440000</v>
      </c>
      <c r="G14" s="13">
        <f t="shared" ref="G14:G31" si="0">F14-E14</f>
        <v>554730</v>
      </c>
      <c r="H14" s="22"/>
      <c r="I14" s="15"/>
      <c r="J14" s="13"/>
    </row>
    <row r="15" spans="1:10">
      <c r="A15" s="59" t="s">
        <v>16</v>
      </c>
      <c r="B15" s="62">
        <v>83400</v>
      </c>
      <c r="C15" s="60">
        <v>762500</v>
      </c>
      <c r="D15" s="61">
        <f>C15-B15</f>
        <v>679100</v>
      </c>
      <c r="E15" s="12">
        <v>193900</v>
      </c>
      <c r="F15" s="60">
        <v>762500</v>
      </c>
      <c r="G15" s="13">
        <f t="shared" si="0"/>
        <v>568600</v>
      </c>
      <c r="H15" s="12"/>
      <c r="I15" s="15"/>
      <c r="J15" s="13"/>
    </row>
    <row r="16" spans="1:10">
      <c r="A16" s="63" t="s">
        <v>152</v>
      </c>
      <c r="B16" s="62">
        <v>17671975</v>
      </c>
      <c r="C16" s="60">
        <v>21480000</v>
      </c>
      <c r="D16" s="61">
        <f>C16-B16</f>
        <v>3808025</v>
      </c>
      <c r="E16" s="12">
        <v>20574918.629999999</v>
      </c>
      <c r="F16" s="60">
        <v>21480000</v>
      </c>
      <c r="G16" s="13">
        <f t="shared" si="0"/>
        <v>905081.37000000104</v>
      </c>
      <c r="H16" s="12"/>
      <c r="I16" s="15"/>
      <c r="J16" s="13"/>
    </row>
    <row r="17" spans="1:10">
      <c r="A17" s="64" t="s">
        <v>17</v>
      </c>
      <c r="B17" s="65">
        <v>0</v>
      </c>
      <c r="C17" s="60">
        <v>0</v>
      </c>
      <c r="D17" s="61">
        <v>0</v>
      </c>
      <c r="E17" s="14">
        <v>0</v>
      </c>
      <c r="F17" s="60">
        <v>0</v>
      </c>
      <c r="G17" s="13">
        <f t="shared" si="0"/>
        <v>0</v>
      </c>
      <c r="H17" s="14"/>
      <c r="I17" s="15"/>
      <c r="J17" s="13"/>
    </row>
    <row r="18" spans="1:10">
      <c r="A18" s="59" t="s">
        <v>18</v>
      </c>
      <c r="B18" s="65">
        <v>0</v>
      </c>
      <c r="C18" s="60">
        <v>0</v>
      </c>
      <c r="D18" s="61">
        <v>0</v>
      </c>
      <c r="E18" s="222">
        <v>0</v>
      </c>
      <c r="F18" s="60">
        <v>0</v>
      </c>
      <c r="G18" s="13">
        <f t="shared" si="0"/>
        <v>0</v>
      </c>
      <c r="H18" s="14"/>
      <c r="I18" s="15"/>
      <c r="J18" s="13"/>
    </row>
    <row r="19" spans="1:10">
      <c r="A19" s="66" t="s">
        <v>19</v>
      </c>
      <c r="B19" s="65">
        <v>0</v>
      </c>
      <c r="C19" s="60">
        <v>2440000</v>
      </c>
      <c r="D19" s="61">
        <f t="shared" ref="D19:D24" si="1">C19-B19</f>
        <v>2440000</v>
      </c>
      <c r="E19" s="223">
        <v>0</v>
      </c>
      <c r="F19" s="60">
        <v>2440000</v>
      </c>
      <c r="G19" s="13">
        <f t="shared" si="0"/>
        <v>2440000</v>
      </c>
      <c r="H19" s="67"/>
      <c r="I19" s="67"/>
      <c r="J19" s="67"/>
    </row>
    <row r="20" spans="1:10">
      <c r="A20" s="66" t="s">
        <v>53</v>
      </c>
      <c r="B20" s="62">
        <v>115650</v>
      </c>
      <c r="C20" s="60">
        <v>687943.04</v>
      </c>
      <c r="D20" s="61">
        <f t="shared" si="1"/>
        <v>572293.04</v>
      </c>
      <c r="E20" s="223">
        <v>215950</v>
      </c>
      <c r="F20" s="60">
        <v>687943.04</v>
      </c>
      <c r="G20" s="13">
        <f t="shared" si="0"/>
        <v>471993.04000000004</v>
      </c>
      <c r="H20" s="67"/>
      <c r="I20" s="67"/>
      <c r="J20" s="67"/>
    </row>
    <row r="21" spans="1:10">
      <c r="A21" s="59" t="s">
        <v>20</v>
      </c>
      <c r="B21" s="62">
        <v>347895.72</v>
      </c>
      <c r="C21" s="60">
        <v>1220000</v>
      </c>
      <c r="D21" s="61">
        <f t="shared" si="1"/>
        <v>872104.28</v>
      </c>
      <c r="E21" s="224">
        <v>349935.72</v>
      </c>
      <c r="F21" s="60">
        <v>1220000</v>
      </c>
      <c r="G21" s="13">
        <f t="shared" si="0"/>
        <v>870064.28</v>
      </c>
      <c r="H21" s="12"/>
      <c r="I21" s="15"/>
      <c r="J21" s="13"/>
    </row>
    <row r="22" spans="1:10">
      <c r="A22" s="66" t="s">
        <v>21</v>
      </c>
      <c r="B22" s="69">
        <v>0</v>
      </c>
      <c r="C22" s="60">
        <v>0</v>
      </c>
      <c r="D22" s="61">
        <f t="shared" si="1"/>
        <v>0</v>
      </c>
      <c r="E22" s="223">
        <v>0</v>
      </c>
      <c r="F22" s="60">
        <v>0</v>
      </c>
      <c r="G22" s="13">
        <f t="shared" si="0"/>
        <v>0</v>
      </c>
      <c r="H22" s="67"/>
      <c r="I22" s="67"/>
      <c r="J22" s="67"/>
    </row>
    <row r="23" spans="1:10">
      <c r="A23" s="59" t="s">
        <v>22</v>
      </c>
      <c r="B23" s="62">
        <v>7336105</v>
      </c>
      <c r="C23" s="60">
        <v>14868750</v>
      </c>
      <c r="D23" s="61">
        <f t="shared" si="1"/>
        <v>7532645</v>
      </c>
      <c r="E23" s="62">
        <v>7336105</v>
      </c>
      <c r="F23" s="60">
        <v>14868750</v>
      </c>
      <c r="G23" s="13">
        <f t="shared" si="0"/>
        <v>7532645</v>
      </c>
      <c r="H23" s="12"/>
      <c r="I23" s="15"/>
      <c r="J23" s="13"/>
    </row>
    <row r="24" spans="1:10">
      <c r="A24" s="66" t="s">
        <v>23</v>
      </c>
      <c r="B24" s="71">
        <v>2095700</v>
      </c>
      <c r="C24" s="60">
        <v>91500000</v>
      </c>
      <c r="D24" s="61">
        <f t="shared" si="1"/>
        <v>89404300</v>
      </c>
      <c r="E24" s="71">
        <v>2095700</v>
      </c>
      <c r="F24" s="60">
        <v>91500000</v>
      </c>
      <c r="G24" s="13">
        <f t="shared" si="0"/>
        <v>89404300</v>
      </c>
      <c r="H24" s="18"/>
      <c r="I24" s="67"/>
      <c r="J24" s="67"/>
    </row>
    <row r="25" spans="1:10">
      <c r="A25" s="59" t="s">
        <v>24</v>
      </c>
      <c r="B25" s="62">
        <v>254000</v>
      </c>
      <c r="C25" s="60">
        <v>6100000</v>
      </c>
      <c r="D25" s="61">
        <f>D24-B25</f>
        <v>89150300</v>
      </c>
      <c r="E25" s="225">
        <v>337800</v>
      </c>
      <c r="F25" s="60">
        <v>6100000</v>
      </c>
      <c r="G25" s="13">
        <f t="shared" si="0"/>
        <v>5762200</v>
      </c>
      <c r="H25" s="12">
        <f>E25-B25</f>
        <v>83800</v>
      </c>
      <c r="I25" s="15"/>
      <c r="J25" s="13"/>
    </row>
    <row r="26" spans="1:10">
      <c r="A26" s="72" t="s">
        <v>25</v>
      </c>
      <c r="B26" s="62">
        <v>26000000</v>
      </c>
      <c r="C26" s="60">
        <v>33184000</v>
      </c>
      <c r="D26" s="61">
        <f t="shared" ref="D26:D32" si="2">C26-B26</f>
        <v>7184000</v>
      </c>
      <c r="E26" s="62">
        <v>26000000</v>
      </c>
      <c r="F26" s="60">
        <v>33184000</v>
      </c>
      <c r="G26" s="13">
        <f t="shared" si="0"/>
        <v>7184000</v>
      </c>
      <c r="H26" s="56"/>
      <c r="I26" s="56"/>
      <c r="J26" s="56"/>
    </row>
    <row r="27" spans="1:10">
      <c r="A27" s="73" t="s">
        <v>26</v>
      </c>
      <c r="B27" s="65">
        <v>0</v>
      </c>
      <c r="C27" s="60">
        <v>0</v>
      </c>
      <c r="D27" s="61">
        <f t="shared" si="2"/>
        <v>0</v>
      </c>
      <c r="E27" s="223">
        <v>0</v>
      </c>
      <c r="F27" s="60">
        <v>0</v>
      </c>
      <c r="G27" s="13">
        <f t="shared" si="0"/>
        <v>0</v>
      </c>
      <c r="H27" s="56"/>
      <c r="I27" s="56"/>
      <c r="J27" s="56"/>
    </row>
    <row r="28" spans="1:10">
      <c r="A28" s="59" t="s">
        <v>27</v>
      </c>
      <c r="B28" s="62">
        <v>0</v>
      </c>
      <c r="C28" s="60">
        <v>0</v>
      </c>
      <c r="D28" s="61">
        <f t="shared" si="2"/>
        <v>0</v>
      </c>
      <c r="E28" s="222">
        <v>0</v>
      </c>
      <c r="F28" s="60">
        <v>0</v>
      </c>
      <c r="G28" s="13">
        <f t="shared" si="0"/>
        <v>0</v>
      </c>
      <c r="H28" s="14"/>
      <c r="I28" s="15"/>
      <c r="J28" s="13"/>
    </row>
    <row r="29" spans="1:10">
      <c r="A29" s="59" t="s">
        <v>153</v>
      </c>
      <c r="B29" s="65">
        <v>0</v>
      </c>
      <c r="C29" s="60">
        <v>0</v>
      </c>
      <c r="D29" s="61">
        <f t="shared" si="2"/>
        <v>0</v>
      </c>
      <c r="E29" s="222">
        <v>0</v>
      </c>
      <c r="F29" s="60">
        <v>0</v>
      </c>
      <c r="G29" s="13">
        <f t="shared" si="0"/>
        <v>0</v>
      </c>
      <c r="H29" s="14"/>
      <c r="I29" s="15"/>
      <c r="J29" s="13"/>
    </row>
    <row r="30" spans="1:10">
      <c r="A30" s="59" t="s">
        <v>154</v>
      </c>
      <c r="B30" s="65">
        <v>0</v>
      </c>
      <c r="C30" s="60">
        <v>3050000</v>
      </c>
      <c r="D30" s="61">
        <f t="shared" si="2"/>
        <v>3050000</v>
      </c>
      <c r="E30" s="222">
        <v>0</v>
      </c>
      <c r="F30" s="60">
        <v>3050000</v>
      </c>
      <c r="G30" s="13">
        <f t="shared" si="0"/>
        <v>3050000</v>
      </c>
      <c r="H30" s="14"/>
      <c r="I30" s="15"/>
      <c r="J30" s="13"/>
    </row>
    <row r="31" spans="1:10">
      <c r="A31" s="59" t="s">
        <v>155</v>
      </c>
      <c r="B31" s="62">
        <v>0</v>
      </c>
      <c r="C31" s="60"/>
      <c r="D31" s="61">
        <f t="shared" si="2"/>
        <v>0</v>
      </c>
      <c r="E31" s="222">
        <v>0</v>
      </c>
      <c r="F31" s="60"/>
      <c r="G31" s="13">
        <f t="shared" si="0"/>
        <v>0</v>
      </c>
      <c r="H31" s="14"/>
      <c r="I31" s="15"/>
      <c r="J31" s="13"/>
    </row>
    <row r="32" spans="1:10">
      <c r="A32" s="74" t="s">
        <v>28</v>
      </c>
      <c r="B32" s="75">
        <f>SUM(B14:B31)</f>
        <v>54634265.719999999</v>
      </c>
      <c r="C32" s="75">
        <f>SUM(C14:C31)</f>
        <v>177733193.03999999</v>
      </c>
      <c r="D32" s="61">
        <f t="shared" si="2"/>
        <v>123098927.31999999</v>
      </c>
      <c r="E32" s="226">
        <f>SUM(E14:E31)</f>
        <v>58989579.349999994</v>
      </c>
      <c r="F32" s="68">
        <f>SUM(F14:F31)</f>
        <v>177733193.03999999</v>
      </c>
      <c r="G32" s="17">
        <f>SUM(G14:G31)</f>
        <v>118743613.69</v>
      </c>
      <c r="H32" s="16"/>
      <c r="I32" s="76"/>
      <c r="J32" s="17"/>
    </row>
    <row r="33" spans="1:10">
      <c r="A33" s="77"/>
      <c r="B33" s="77"/>
      <c r="C33" s="77"/>
      <c r="D33" s="77"/>
      <c r="E33" s="227"/>
      <c r="F33" s="79"/>
      <c r="G33" s="78"/>
      <c r="H33" s="78"/>
      <c r="I33" s="78"/>
      <c r="J33" s="78"/>
    </row>
    <row r="34" spans="1:10" ht="22.5">
      <c r="A34" s="80" t="s">
        <v>29</v>
      </c>
      <c r="B34" s="81"/>
      <c r="C34" s="81"/>
      <c r="D34" s="61"/>
      <c r="E34" s="228"/>
      <c r="F34" s="68"/>
      <c r="G34" s="13"/>
      <c r="H34" s="82"/>
      <c r="I34" s="82"/>
      <c r="J34" s="13"/>
    </row>
    <row r="35" spans="1:10">
      <c r="A35" s="64" t="s">
        <v>30</v>
      </c>
      <c r="B35" s="65">
        <v>0</v>
      </c>
      <c r="C35" s="60">
        <v>2440000</v>
      </c>
      <c r="D35" s="61">
        <f t="shared" ref="D35:D76" si="3">C35-B35</f>
        <v>2440000</v>
      </c>
      <c r="E35" s="229">
        <v>0</v>
      </c>
      <c r="F35" s="60">
        <v>2440000</v>
      </c>
      <c r="G35" s="13">
        <f t="shared" ref="G35:G75" si="4">F35-E35</f>
        <v>2440000</v>
      </c>
      <c r="H35" s="83"/>
      <c r="I35" s="84"/>
      <c r="J35" s="13"/>
    </row>
    <row r="36" spans="1:10">
      <c r="A36" s="66" t="s">
        <v>31</v>
      </c>
      <c r="B36" s="62">
        <v>90000</v>
      </c>
      <c r="C36" s="60">
        <v>1220000</v>
      </c>
      <c r="D36" s="61">
        <f t="shared" si="3"/>
        <v>1130000</v>
      </c>
      <c r="E36" s="62">
        <v>90000</v>
      </c>
      <c r="F36" s="60">
        <v>1220000</v>
      </c>
      <c r="G36" s="18">
        <f t="shared" si="4"/>
        <v>1130000</v>
      </c>
      <c r="H36" s="82"/>
      <c r="I36" s="82"/>
      <c r="J36" s="13"/>
    </row>
    <row r="37" spans="1:10">
      <c r="A37" s="59" t="s">
        <v>32</v>
      </c>
      <c r="B37" s="85">
        <v>0</v>
      </c>
      <c r="C37" s="60">
        <v>0</v>
      </c>
      <c r="D37" s="61">
        <f t="shared" si="3"/>
        <v>0</v>
      </c>
      <c r="E37" s="230">
        <v>0</v>
      </c>
      <c r="F37" s="60">
        <v>0</v>
      </c>
      <c r="G37" s="13">
        <f t="shared" si="4"/>
        <v>0</v>
      </c>
      <c r="H37" s="86"/>
      <c r="I37" s="84"/>
      <c r="J37" s="13"/>
    </row>
    <row r="38" spans="1:10">
      <c r="A38" s="59" t="s">
        <v>33</v>
      </c>
      <c r="B38" s="71">
        <v>0</v>
      </c>
      <c r="C38" s="60">
        <v>4404200</v>
      </c>
      <c r="D38" s="61">
        <f t="shared" si="3"/>
        <v>4404200</v>
      </c>
      <c r="E38" s="230">
        <v>1995800</v>
      </c>
      <c r="F38" s="60">
        <v>4404200</v>
      </c>
      <c r="G38" s="13">
        <f t="shared" si="4"/>
        <v>2408400</v>
      </c>
      <c r="H38" s="86"/>
      <c r="I38" s="84"/>
      <c r="J38" s="13"/>
    </row>
    <row r="39" spans="1:10">
      <c r="A39" s="59" t="s">
        <v>34</v>
      </c>
      <c r="B39" s="65">
        <v>0</v>
      </c>
      <c r="C39" s="60">
        <v>0</v>
      </c>
      <c r="D39" s="61">
        <f t="shared" si="3"/>
        <v>0</v>
      </c>
      <c r="E39" s="230">
        <v>0</v>
      </c>
      <c r="F39" s="60">
        <v>0</v>
      </c>
      <c r="G39" s="13">
        <f t="shared" si="4"/>
        <v>0</v>
      </c>
      <c r="H39" s="86"/>
      <c r="I39" s="84"/>
      <c r="J39" s="13"/>
    </row>
    <row r="40" spans="1:10">
      <c r="A40" s="66" t="s">
        <v>35</v>
      </c>
      <c r="B40" s="65">
        <v>0</v>
      </c>
      <c r="C40" s="60">
        <v>1220000</v>
      </c>
      <c r="D40" s="61">
        <f t="shared" si="3"/>
        <v>1220000</v>
      </c>
      <c r="E40" s="67">
        <v>0</v>
      </c>
      <c r="F40" s="60">
        <v>1220000</v>
      </c>
      <c r="G40" s="18">
        <f t="shared" si="4"/>
        <v>1220000</v>
      </c>
      <c r="H40" s="82"/>
      <c r="I40" s="82"/>
      <c r="J40" s="13"/>
    </row>
    <row r="41" spans="1:10">
      <c r="A41" s="66" t="s">
        <v>36</v>
      </c>
      <c r="B41" s="65">
        <v>0</v>
      </c>
      <c r="C41" s="60">
        <v>244000</v>
      </c>
      <c r="D41" s="61">
        <f t="shared" si="3"/>
        <v>244000</v>
      </c>
      <c r="E41" s="67">
        <v>0</v>
      </c>
      <c r="F41" s="60">
        <v>244000</v>
      </c>
      <c r="G41" s="18">
        <f t="shared" si="4"/>
        <v>244000</v>
      </c>
      <c r="H41" s="82"/>
      <c r="I41" s="82"/>
      <c r="J41" s="13"/>
    </row>
    <row r="42" spans="1:10">
      <c r="A42" s="66" t="s">
        <v>156</v>
      </c>
      <c r="B42" s="65">
        <v>0</v>
      </c>
      <c r="C42" s="60">
        <v>244000</v>
      </c>
      <c r="D42" s="61">
        <f t="shared" si="3"/>
        <v>244000</v>
      </c>
      <c r="E42" s="67">
        <v>0</v>
      </c>
      <c r="F42" s="60">
        <v>244000</v>
      </c>
      <c r="G42" s="18">
        <f t="shared" si="4"/>
        <v>244000</v>
      </c>
      <c r="H42" s="82"/>
      <c r="I42" s="82"/>
      <c r="J42" s="13"/>
    </row>
    <row r="43" spans="1:10" ht="22.5">
      <c r="A43" s="80" t="s">
        <v>37</v>
      </c>
      <c r="B43" s="65">
        <v>0</v>
      </c>
      <c r="C43" s="60">
        <v>0</v>
      </c>
      <c r="D43" s="24">
        <f t="shared" si="3"/>
        <v>0</v>
      </c>
      <c r="E43" s="86">
        <v>0</v>
      </c>
      <c r="F43" s="60">
        <v>0</v>
      </c>
      <c r="G43" s="13">
        <f t="shared" si="4"/>
        <v>0</v>
      </c>
      <c r="H43" s="82"/>
      <c r="I43" s="82"/>
      <c r="J43" s="13"/>
    </row>
    <row r="44" spans="1:10">
      <c r="A44" s="59" t="s">
        <v>38</v>
      </c>
      <c r="B44" s="71">
        <v>775980</v>
      </c>
      <c r="C44" s="60">
        <v>6237128</v>
      </c>
      <c r="D44" s="61">
        <f t="shared" si="3"/>
        <v>5461148</v>
      </c>
      <c r="E44" s="86">
        <v>1177580</v>
      </c>
      <c r="F44" s="60">
        <v>6237128</v>
      </c>
      <c r="G44" s="13">
        <f t="shared" si="4"/>
        <v>5059548</v>
      </c>
      <c r="H44" s="86"/>
      <c r="I44" s="84"/>
      <c r="J44" s="13"/>
    </row>
    <row r="45" spans="1:10">
      <c r="A45" s="66" t="s">
        <v>157</v>
      </c>
      <c r="B45" s="65">
        <v>0</v>
      </c>
      <c r="C45" s="60">
        <v>610000</v>
      </c>
      <c r="D45" s="61">
        <f t="shared" si="3"/>
        <v>610000</v>
      </c>
      <c r="E45" s="84">
        <v>0</v>
      </c>
      <c r="F45" s="60">
        <v>610000</v>
      </c>
      <c r="G45" s="13">
        <f t="shared" si="4"/>
        <v>610000</v>
      </c>
      <c r="H45" s="84"/>
      <c r="I45" s="82"/>
      <c r="J45" s="13"/>
    </row>
    <row r="46" spans="1:10">
      <c r="A46" s="66" t="s">
        <v>39</v>
      </c>
      <c r="B46" s="65">
        <v>0</v>
      </c>
      <c r="C46" s="60">
        <v>0</v>
      </c>
      <c r="D46" s="61">
        <f t="shared" si="3"/>
        <v>0</v>
      </c>
      <c r="E46" s="67">
        <v>0</v>
      </c>
      <c r="F46" s="60">
        <v>0</v>
      </c>
      <c r="G46" s="18">
        <f t="shared" si="4"/>
        <v>0</v>
      </c>
      <c r="H46" s="82"/>
      <c r="I46" s="82"/>
      <c r="J46" s="13"/>
    </row>
    <row r="47" spans="1:10">
      <c r="A47" s="66" t="s">
        <v>40</v>
      </c>
      <c r="B47" s="65">
        <v>0</v>
      </c>
      <c r="C47" s="60">
        <v>0</v>
      </c>
      <c r="D47" s="61">
        <f t="shared" si="3"/>
        <v>0</v>
      </c>
      <c r="E47" s="67">
        <v>0</v>
      </c>
      <c r="F47" s="60">
        <v>0</v>
      </c>
      <c r="G47" s="18">
        <f t="shared" si="4"/>
        <v>0</v>
      </c>
      <c r="H47" s="82"/>
      <c r="I47" s="82"/>
      <c r="J47" s="13"/>
    </row>
    <row r="48" spans="1:10">
      <c r="A48" s="66" t="s">
        <v>41</v>
      </c>
      <c r="B48" s="62">
        <v>0</v>
      </c>
      <c r="C48" s="60">
        <v>0</v>
      </c>
      <c r="D48" s="61">
        <f t="shared" si="3"/>
        <v>0</v>
      </c>
      <c r="E48" s="67">
        <v>0</v>
      </c>
      <c r="F48" s="60">
        <v>0</v>
      </c>
      <c r="G48" s="18">
        <f t="shared" si="4"/>
        <v>0</v>
      </c>
      <c r="H48" s="82"/>
      <c r="I48" s="82"/>
      <c r="J48" s="13"/>
    </row>
    <row r="49" spans="1:10">
      <c r="A49" s="59" t="s">
        <v>42</v>
      </c>
      <c r="B49" s="71">
        <v>0</v>
      </c>
      <c r="C49" s="60">
        <v>52736000.600000001</v>
      </c>
      <c r="D49" s="61">
        <f t="shared" si="3"/>
        <v>52736000.600000001</v>
      </c>
      <c r="E49" s="86">
        <v>0</v>
      </c>
      <c r="F49" s="60">
        <v>52736000.600000001</v>
      </c>
      <c r="G49" s="13">
        <f t="shared" si="4"/>
        <v>52736000.600000001</v>
      </c>
      <c r="H49" s="86"/>
      <c r="I49" s="84"/>
      <c r="J49" s="13"/>
    </row>
    <row r="50" spans="1:10">
      <c r="A50" s="66" t="s">
        <v>43</v>
      </c>
      <c r="B50" s="65">
        <v>0</v>
      </c>
      <c r="C50" s="60">
        <v>244000</v>
      </c>
      <c r="D50" s="61">
        <f t="shared" si="3"/>
        <v>244000</v>
      </c>
      <c r="E50" s="67">
        <v>0</v>
      </c>
      <c r="F50" s="60">
        <v>244000</v>
      </c>
      <c r="G50" s="18">
        <f t="shared" si="4"/>
        <v>244000</v>
      </c>
      <c r="H50" s="82"/>
      <c r="I50" s="82"/>
      <c r="J50" s="13"/>
    </row>
    <row r="51" spans="1:10">
      <c r="A51" s="66" t="s">
        <v>158</v>
      </c>
      <c r="B51" s="65">
        <v>0</v>
      </c>
      <c r="C51" s="60">
        <v>244000</v>
      </c>
      <c r="D51" s="61">
        <f t="shared" si="3"/>
        <v>244000</v>
      </c>
      <c r="E51" s="67">
        <v>0</v>
      </c>
      <c r="F51" s="60">
        <v>244000</v>
      </c>
      <c r="G51" s="18">
        <f t="shared" si="4"/>
        <v>244000</v>
      </c>
      <c r="H51" s="82"/>
      <c r="I51" s="82"/>
      <c r="J51" s="13"/>
    </row>
    <row r="52" spans="1:10" ht="22.5">
      <c r="A52" s="80" t="s">
        <v>44</v>
      </c>
      <c r="B52" s="65">
        <v>0</v>
      </c>
      <c r="C52" s="60">
        <v>0</v>
      </c>
      <c r="D52" s="61">
        <f t="shared" si="3"/>
        <v>0</v>
      </c>
      <c r="E52" s="67">
        <v>0</v>
      </c>
      <c r="F52" s="60">
        <v>0</v>
      </c>
      <c r="G52" s="18">
        <f t="shared" si="4"/>
        <v>0</v>
      </c>
      <c r="H52" s="82"/>
      <c r="I52" s="82"/>
      <c r="J52" s="13"/>
    </row>
    <row r="53" spans="1:10">
      <c r="A53" s="59" t="s">
        <v>159</v>
      </c>
      <c r="B53" s="71">
        <v>598514.28</v>
      </c>
      <c r="C53" s="60">
        <v>6237128</v>
      </c>
      <c r="D53" s="61">
        <f t="shared" si="3"/>
        <v>5638613.7199999997</v>
      </c>
      <c r="E53" s="86">
        <v>1405104.28</v>
      </c>
      <c r="F53" s="60">
        <v>6237128</v>
      </c>
      <c r="G53" s="13">
        <f t="shared" si="4"/>
        <v>4832023.72</v>
      </c>
      <c r="H53" s="86"/>
      <c r="I53" s="84"/>
      <c r="J53" s="13"/>
    </row>
    <row r="54" spans="1:10">
      <c r="A54" s="66" t="s">
        <v>45</v>
      </c>
      <c r="B54" s="65">
        <v>0</v>
      </c>
      <c r="C54" s="60">
        <v>0</v>
      </c>
      <c r="D54" s="61">
        <f t="shared" si="3"/>
        <v>0</v>
      </c>
      <c r="E54" s="67">
        <v>0</v>
      </c>
      <c r="F54" s="60">
        <v>0</v>
      </c>
      <c r="G54" s="18">
        <f t="shared" si="4"/>
        <v>0</v>
      </c>
      <c r="H54" s="82"/>
      <c r="I54" s="82"/>
      <c r="J54" s="13"/>
    </row>
    <row r="55" spans="1:10">
      <c r="A55" s="66" t="s">
        <v>46</v>
      </c>
      <c r="B55" s="65">
        <v>0</v>
      </c>
      <c r="C55" s="60">
        <v>0</v>
      </c>
      <c r="D55" s="61">
        <f t="shared" si="3"/>
        <v>0</v>
      </c>
      <c r="E55" s="67">
        <v>0</v>
      </c>
      <c r="F55" s="60">
        <v>0</v>
      </c>
      <c r="G55" s="18">
        <f t="shared" si="4"/>
        <v>0</v>
      </c>
      <c r="H55" s="82"/>
      <c r="I55" s="82"/>
      <c r="J55" s="13"/>
    </row>
    <row r="56" spans="1:10">
      <c r="A56" s="80" t="s">
        <v>47</v>
      </c>
      <c r="B56" s="65">
        <v>0</v>
      </c>
      <c r="C56" s="60">
        <v>0</v>
      </c>
      <c r="D56" s="61">
        <f t="shared" si="3"/>
        <v>0</v>
      </c>
      <c r="E56" s="67">
        <v>0</v>
      </c>
      <c r="F56" s="60">
        <v>0</v>
      </c>
      <c r="G56" s="18">
        <f t="shared" si="4"/>
        <v>0</v>
      </c>
      <c r="H56" s="82"/>
      <c r="I56" s="82"/>
      <c r="J56" s="13"/>
    </row>
    <row r="57" spans="1:10">
      <c r="A57" s="66" t="s">
        <v>48</v>
      </c>
      <c r="B57" s="71">
        <v>0</v>
      </c>
      <c r="C57" s="60">
        <v>0</v>
      </c>
      <c r="D57" s="61">
        <f t="shared" si="3"/>
        <v>0</v>
      </c>
      <c r="E57" s="67">
        <v>0</v>
      </c>
      <c r="F57" s="60">
        <v>0</v>
      </c>
      <c r="G57" s="18">
        <f t="shared" si="4"/>
        <v>0</v>
      </c>
      <c r="H57" s="82"/>
      <c r="I57" s="82"/>
      <c r="J57" s="13"/>
    </row>
    <row r="58" spans="1:10">
      <c r="A58" s="59" t="s">
        <v>49</v>
      </c>
      <c r="B58" s="71">
        <v>220000</v>
      </c>
      <c r="C58" s="60">
        <v>14192000</v>
      </c>
      <c r="D58" s="61">
        <f t="shared" si="3"/>
        <v>13972000</v>
      </c>
      <c r="E58" s="71">
        <v>220000</v>
      </c>
      <c r="F58" s="60">
        <v>14192000</v>
      </c>
      <c r="G58" s="13">
        <f t="shared" si="4"/>
        <v>13972000</v>
      </c>
      <c r="H58" s="86"/>
      <c r="I58" s="84"/>
      <c r="J58" s="13"/>
    </row>
    <row r="59" spans="1:10">
      <c r="A59" s="66" t="s">
        <v>50</v>
      </c>
      <c r="B59" s="87">
        <v>0</v>
      </c>
      <c r="C59" s="60">
        <v>4880000</v>
      </c>
      <c r="D59" s="61">
        <f t="shared" si="3"/>
        <v>4880000</v>
      </c>
      <c r="E59" s="223">
        <v>74000</v>
      </c>
      <c r="F59" s="60">
        <v>4880000</v>
      </c>
      <c r="G59" s="18">
        <f t="shared" si="4"/>
        <v>4806000</v>
      </c>
      <c r="H59" s="82"/>
      <c r="I59" s="82"/>
      <c r="J59" s="13"/>
    </row>
    <row r="60" spans="1:10">
      <c r="A60" s="66" t="s">
        <v>51</v>
      </c>
      <c r="B60" s="62"/>
      <c r="C60" s="60">
        <v>4880000</v>
      </c>
      <c r="D60" s="61">
        <f t="shared" si="3"/>
        <v>4880000</v>
      </c>
      <c r="E60" s="223">
        <v>0</v>
      </c>
      <c r="F60" s="60">
        <v>4880000</v>
      </c>
      <c r="G60" s="18">
        <f t="shared" si="4"/>
        <v>4880000</v>
      </c>
      <c r="H60" s="82"/>
      <c r="I60" s="82"/>
      <c r="J60" s="13"/>
    </row>
    <row r="61" spans="1:10">
      <c r="A61" s="66" t="s">
        <v>52</v>
      </c>
      <c r="B61" s="62">
        <v>0</v>
      </c>
      <c r="C61" s="60">
        <v>0</v>
      </c>
      <c r="D61" s="61">
        <f t="shared" si="3"/>
        <v>0</v>
      </c>
      <c r="E61" s="223">
        <v>0</v>
      </c>
      <c r="F61" s="60">
        <v>0</v>
      </c>
      <c r="G61" s="18">
        <f t="shared" si="4"/>
        <v>0</v>
      </c>
      <c r="H61" s="82"/>
      <c r="I61" s="82"/>
      <c r="J61" s="13"/>
    </row>
    <row r="62" spans="1:10">
      <c r="A62" s="66" t="s">
        <v>53</v>
      </c>
      <c r="B62" s="62">
        <v>1586234</v>
      </c>
      <c r="C62" s="60">
        <v>8540000</v>
      </c>
      <c r="D62" s="61">
        <f t="shared" si="3"/>
        <v>6953766</v>
      </c>
      <c r="E62" s="223">
        <v>2557964</v>
      </c>
      <c r="F62" s="60">
        <v>8540000</v>
      </c>
      <c r="G62" s="18">
        <f t="shared" si="4"/>
        <v>5982036</v>
      </c>
      <c r="H62" s="82"/>
      <c r="I62" s="82"/>
      <c r="J62" s="13"/>
    </row>
    <row r="63" spans="1:10">
      <c r="A63" s="66" t="s">
        <v>54</v>
      </c>
      <c r="B63" s="65">
        <v>0</v>
      </c>
      <c r="C63" s="60">
        <v>244000</v>
      </c>
      <c r="D63" s="61">
        <f t="shared" si="3"/>
        <v>244000</v>
      </c>
      <c r="E63" s="223">
        <v>0</v>
      </c>
      <c r="F63" s="60">
        <v>244000</v>
      </c>
      <c r="G63" s="18">
        <f t="shared" si="4"/>
        <v>244000</v>
      </c>
      <c r="H63" s="82"/>
      <c r="I63" s="82"/>
      <c r="J63" s="13"/>
    </row>
    <row r="64" spans="1:10">
      <c r="A64" s="66" t="s">
        <v>55</v>
      </c>
      <c r="B64" s="71">
        <v>0</v>
      </c>
      <c r="C64" s="60">
        <v>0</v>
      </c>
      <c r="D64" s="61">
        <f t="shared" si="3"/>
        <v>0</v>
      </c>
      <c r="E64" s="223">
        <v>0</v>
      </c>
      <c r="F64" s="60">
        <v>0</v>
      </c>
      <c r="G64" s="18">
        <f t="shared" si="4"/>
        <v>0</v>
      </c>
      <c r="H64" s="82"/>
      <c r="I64" s="82"/>
      <c r="J64" s="13"/>
    </row>
    <row r="65" spans="1:10">
      <c r="A65" s="88" t="s">
        <v>160</v>
      </c>
      <c r="B65" s="71">
        <v>0</v>
      </c>
      <c r="C65" s="60">
        <v>0</v>
      </c>
      <c r="D65" s="61">
        <f t="shared" si="3"/>
        <v>0</v>
      </c>
      <c r="E65" s="223">
        <v>0</v>
      </c>
      <c r="F65" s="60">
        <v>0</v>
      </c>
      <c r="G65" s="18">
        <f t="shared" si="4"/>
        <v>0</v>
      </c>
      <c r="H65" s="82"/>
      <c r="I65" s="82"/>
      <c r="J65" s="13"/>
    </row>
    <row r="66" spans="1:10">
      <c r="A66" s="89" t="s">
        <v>161</v>
      </c>
      <c r="B66" s="69">
        <v>1715180</v>
      </c>
      <c r="C66" s="60">
        <v>21264386.5</v>
      </c>
      <c r="D66" s="61">
        <f t="shared" si="3"/>
        <v>19549206.5</v>
      </c>
      <c r="E66" s="223">
        <v>2690630</v>
      </c>
      <c r="F66" s="60">
        <v>21264386.5</v>
      </c>
      <c r="G66" s="18">
        <f t="shared" si="4"/>
        <v>18573756.5</v>
      </c>
      <c r="H66" s="82"/>
      <c r="I66" s="82"/>
      <c r="J66" s="13"/>
    </row>
    <row r="67" spans="1:10">
      <c r="A67" s="89" t="s">
        <v>162</v>
      </c>
      <c r="B67" s="71">
        <v>7065567.54</v>
      </c>
      <c r="C67" s="60">
        <v>39650000</v>
      </c>
      <c r="D67" s="61">
        <f t="shared" si="3"/>
        <v>32584432.460000001</v>
      </c>
      <c r="E67" s="230">
        <v>10075288.49</v>
      </c>
      <c r="F67" s="60">
        <v>39650000</v>
      </c>
      <c r="G67" s="13">
        <f t="shared" si="4"/>
        <v>29574711.509999998</v>
      </c>
      <c r="H67" s="86"/>
      <c r="I67" s="84"/>
      <c r="J67" s="13"/>
    </row>
    <row r="68" spans="1:10">
      <c r="A68" s="59" t="s">
        <v>163</v>
      </c>
      <c r="B68" s="65">
        <v>0</v>
      </c>
      <c r="C68" s="60">
        <v>6100000</v>
      </c>
      <c r="D68" s="61">
        <f t="shared" si="3"/>
        <v>6100000</v>
      </c>
      <c r="E68" s="230">
        <v>0</v>
      </c>
      <c r="F68" s="60">
        <v>6100000</v>
      </c>
      <c r="G68" s="13">
        <f t="shared" si="4"/>
        <v>6100000</v>
      </c>
      <c r="H68" s="86"/>
      <c r="I68" s="84"/>
      <c r="J68" s="13"/>
    </row>
    <row r="69" spans="1:10">
      <c r="A69" s="63" t="s">
        <v>56</v>
      </c>
      <c r="B69" s="71">
        <v>0</v>
      </c>
      <c r="C69" s="60">
        <v>14640000</v>
      </c>
      <c r="D69" s="61">
        <f t="shared" si="3"/>
        <v>14640000</v>
      </c>
      <c r="E69" s="230">
        <v>0</v>
      </c>
      <c r="F69" s="60">
        <v>14640000</v>
      </c>
      <c r="G69" s="13">
        <f t="shared" si="4"/>
        <v>14640000</v>
      </c>
      <c r="H69" s="86"/>
      <c r="I69" s="84"/>
      <c r="J69" s="13"/>
    </row>
    <row r="70" spans="1:10">
      <c r="A70" s="64" t="s">
        <v>57</v>
      </c>
      <c r="B70" s="65">
        <v>0</v>
      </c>
      <c r="C70" s="60">
        <v>7320000</v>
      </c>
      <c r="D70" s="61">
        <f t="shared" si="3"/>
        <v>7320000</v>
      </c>
      <c r="E70" s="232">
        <v>8843550</v>
      </c>
      <c r="F70" s="60">
        <v>7320000</v>
      </c>
      <c r="G70" s="13">
        <f t="shared" si="4"/>
        <v>-1523550</v>
      </c>
      <c r="H70" s="116"/>
      <c r="I70" s="84"/>
      <c r="J70" s="13"/>
    </row>
    <row r="71" spans="1:10">
      <c r="A71" s="66" t="s">
        <v>58</v>
      </c>
      <c r="B71" s="62">
        <v>0</v>
      </c>
      <c r="C71" s="60">
        <v>0</v>
      </c>
      <c r="D71" s="61">
        <f t="shared" si="3"/>
        <v>0</v>
      </c>
      <c r="E71" s="67">
        <v>0</v>
      </c>
      <c r="F71" s="60">
        <v>0</v>
      </c>
      <c r="G71" s="18">
        <f t="shared" si="4"/>
        <v>0</v>
      </c>
      <c r="H71" s="82"/>
      <c r="I71" s="82"/>
      <c r="J71" s="13"/>
    </row>
    <row r="72" spans="1:10">
      <c r="A72" s="59" t="s">
        <v>59</v>
      </c>
      <c r="B72" s="71">
        <v>21477837.440000001</v>
      </c>
      <c r="C72" s="60">
        <v>122000000</v>
      </c>
      <c r="D72" s="61">
        <f t="shared" si="3"/>
        <v>100522162.56</v>
      </c>
      <c r="E72" s="71">
        <v>43965214.009999998</v>
      </c>
      <c r="F72" s="60">
        <v>122000000</v>
      </c>
      <c r="G72" s="13">
        <f t="shared" si="4"/>
        <v>78034785.99000001</v>
      </c>
      <c r="H72" s="83"/>
      <c r="I72" s="84"/>
      <c r="J72" s="13"/>
    </row>
    <row r="73" spans="1:10">
      <c r="A73" s="66" t="s">
        <v>60</v>
      </c>
      <c r="B73" s="62">
        <v>19220048</v>
      </c>
      <c r="C73" s="60">
        <v>122000000</v>
      </c>
      <c r="D73" s="61">
        <f t="shared" si="3"/>
        <v>102779952</v>
      </c>
      <c r="E73" s="223">
        <v>72583910.5</v>
      </c>
      <c r="F73" s="60">
        <v>122000000</v>
      </c>
      <c r="G73" s="18">
        <f t="shared" si="4"/>
        <v>49416089.5</v>
      </c>
      <c r="H73" s="82"/>
      <c r="I73" s="82"/>
      <c r="J73" s="13"/>
    </row>
    <row r="74" spans="1:10">
      <c r="A74" s="66" t="s">
        <v>61</v>
      </c>
      <c r="B74" s="65">
        <v>0</v>
      </c>
      <c r="C74" s="60">
        <v>122000000</v>
      </c>
      <c r="D74" s="61">
        <f t="shared" si="3"/>
        <v>122000000</v>
      </c>
      <c r="E74" s="223">
        <v>0</v>
      </c>
      <c r="F74" s="60">
        <v>122000000</v>
      </c>
      <c r="G74" s="18">
        <f t="shared" si="4"/>
        <v>122000000</v>
      </c>
      <c r="H74" s="82"/>
      <c r="I74" s="82"/>
      <c r="J74" s="13"/>
    </row>
    <row r="75" spans="1:10">
      <c r="A75" s="66" t="s">
        <v>155</v>
      </c>
      <c r="B75" s="71">
        <v>0</v>
      </c>
      <c r="C75" s="60">
        <v>0</v>
      </c>
      <c r="D75" s="61">
        <f t="shared" si="3"/>
        <v>0</v>
      </c>
      <c r="E75" s="223">
        <v>0</v>
      </c>
      <c r="F75" s="60">
        <v>0</v>
      </c>
      <c r="G75" s="18">
        <f t="shared" si="4"/>
        <v>0</v>
      </c>
      <c r="H75" s="82"/>
      <c r="I75" s="82"/>
      <c r="J75" s="13"/>
    </row>
    <row r="76" spans="1:10">
      <c r="A76" s="74" t="s">
        <v>28</v>
      </c>
      <c r="B76" s="90">
        <f>SUM(B35:B75)</f>
        <v>52749361.260000005</v>
      </c>
      <c r="C76" s="90">
        <f>SUM(C34:C75)</f>
        <v>563790843.10000002</v>
      </c>
      <c r="D76" s="61">
        <f t="shared" si="3"/>
        <v>511041481.84000003</v>
      </c>
      <c r="E76" s="231">
        <f>SUM(E35:E75)</f>
        <v>145679041.28</v>
      </c>
      <c r="F76" s="68">
        <f>SUM(F35:F75)</f>
        <v>563790843.10000002</v>
      </c>
      <c r="G76" s="17">
        <f>SUM(G35:G75)</f>
        <v>418111801.82000005</v>
      </c>
      <c r="H76" s="91"/>
      <c r="I76" s="91"/>
      <c r="J76" s="17"/>
    </row>
    <row r="77" spans="1:10">
      <c r="A77" s="92"/>
      <c r="B77" s="93"/>
      <c r="C77" s="77"/>
      <c r="D77" s="77"/>
      <c r="E77" s="78"/>
      <c r="F77" s="94"/>
      <c r="G77" s="78"/>
      <c r="H77" s="78"/>
      <c r="I77" s="78"/>
      <c r="J77" s="78"/>
    </row>
    <row r="78" spans="1:10">
      <c r="A78" s="95" t="s">
        <v>62</v>
      </c>
      <c r="B78" s="96"/>
      <c r="C78" s="97"/>
      <c r="D78" s="97"/>
      <c r="E78" s="98"/>
      <c r="F78" s="68"/>
      <c r="G78" s="98"/>
      <c r="H78" s="98"/>
      <c r="I78" s="98"/>
      <c r="J78" s="98"/>
    </row>
    <row r="79" spans="1:10">
      <c r="A79" s="59" t="s">
        <v>63</v>
      </c>
      <c r="B79" s="71">
        <v>0</v>
      </c>
      <c r="C79" s="60">
        <v>1220000</v>
      </c>
      <c r="D79" s="61">
        <f t="shared" ref="D79:D88" si="5">C79-B79</f>
        <v>1220000</v>
      </c>
      <c r="E79" s="18">
        <v>360000</v>
      </c>
      <c r="F79" s="60">
        <v>1220000</v>
      </c>
      <c r="G79" s="19">
        <f t="shared" ref="G79:G87" si="6">F79-E79</f>
        <v>860000</v>
      </c>
      <c r="H79" s="22"/>
      <c r="I79" s="18"/>
      <c r="J79" s="20"/>
    </row>
    <row r="80" spans="1:10" ht="22.5">
      <c r="A80" s="99" t="s">
        <v>164</v>
      </c>
      <c r="B80" s="65">
        <v>0</v>
      </c>
      <c r="C80" s="60">
        <v>2440000</v>
      </c>
      <c r="D80" s="61">
        <f t="shared" si="5"/>
        <v>2440000</v>
      </c>
      <c r="E80" s="18">
        <v>0</v>
      </c>
      <c r="F80" s="60">
        <v>2440000</v>
      </c>
      <c r="G80" s="20">
        <f t="shared" si="6"/>
        <v>2440000</v>
      </c>
      <c r="H80" s="18"/>
      <c r="I80" s="18"/>
      <c r="J80" s="20"/>
    </row>
    <row r="81" spans="1:10">
      <c r="A81" s="63" t="s">
        <v>165</v>
      </c>
      <c r="B81" s="96">
        <v>0</v>
      </c>
      <c r="C81" s="60">
        <v>0</v>
      </c>
      <c r="D81" s="61">
        <f t="shared" si="5"/>
        <v>0</v>
      </c>
      <c r="E81" s="100">
        <v>0</v>
      </c>
      <c r="F81" s="60">
        <v>0</v>
      </c>
      <c r="G81" s="20">
        <f t="shared" si="6"/>
        <v>0</v>
      </c>
      <c r="H81" s="100"/>
      <c r="I81" s="100"/>
      <c r="J81" s="100"/>
    </row>
    <row r="82" spans="1:10">
      <c r="A82" s="63" t="s">
        <v>53</v>
      </c>
      <c r="B82" s="87">
        <v>0</v>
      </c>
      <c r="C82" s="60">
        <v>732000</v>
      </c>
      <c r="D82" s="61">
        <f t="shared" si="5"/>
        <v>732000</v>
      </c>
      <c r="E82" s="18">
        <v>5200</v>
      </c>
      <c r="F82" s="60">
        <v>732000</v>
      </c>
      <c r="G82" s="20">
        <f t="shared" si="6"/>
        <v>726800</v>
      </c>
      <c r="H82" s="18"/>
      <c r="I82" s="101"/>
      <c r="J82" s="20"/>
    </row>
    <row r="83" spans="1:10">
      <c r="A83" s="63" t="s">
        <v>64</v>
      </c>
      <c r="B83" s="62">
        <v>0</v>
      </c>
      <c r="C83" s="60">
        <v>0</v>
      </c>
      <c r="D83" s="61">
        <f t="shared" si="5"/>
        <v>0</v>
      </c>
      <c r="E83" s="100">
        <v>0</v>
      </c>
      <c r="F83" s="60">
        <v>0</v>
      </c>
      <c r="G83" s="20">
        <f t="shared" si="6"/>
        <v>0</v>
      </c>
      <c r="H83" s="18"/>
      <c r="I83" s="101"/>
      <c r="J83" s="20"/>
    </row>
    <row r="84" spans="1:10">
      <c r="A84" s="63" t="s">
        <v>65</v>
      </c>
      <c r="B84" s="87">
        <v>220000</v>
      </c>
      <c r="C84" s="60">
        <v>732000</v>
      </c>
      <c r="D84" s="61">
        <f t="shared" si="5"/>
        <v>512000</v>
      </c>
      <c r="E84" s="18">
        <v>416000</v>
      </c>
      <c r="F84" s="60">
        <v>732000</v>
      </c>
      <c r="G84" s="20">
        <f t="shared" si="6"/>
        <v>316000</v>
      </c>
      <c r="H84" s="18"/>
      <c r="I84" s="18"/>
      <c r="J84" s="20"/>
    </row>
    <row r="85" spans="1:10">
      <c r="A85" s="63" t="s">
        <v>166</v>
      </c>
      <c r="B85" s="62">
        <v>0</v>
      </c>
      <c r="C85" s="60">
        <v>488000</v>
      </c>
      <c r="D85" s="61">
        <f t="shared" si="5"/>
        <v>488000</v>
      </c>
      <c r="E85" s="100">
        <v>0</v>
      </c>
      <c r="F85" s="60">
        <v>488000</v>
      </c>
      <c r="G85" s="20">
        <f t="shared" si="6"/>
        <v>488000</v>
      </c>
      <c r="H85" s="18"/>
      <c r="I85" s="67"/>
      <c r="J85" s="67"/>
    </row>
    <row r="86" spans="1:10" ht="43.5">
      <c r="A86" s="102" t="s">
        <v>66</v>
      </c>
      <c r="B86" s="65">
        <v>0</v>
      </c>
      <c r="C86" s="60">
        <v>244000</v>
      </c>
      <c r="D86" s="61">
        <f t="shared" si="5"/>
        <v>244000</v>
      </c>
      <c r="E86" s="21">
        <v>0</v>
      </c>
      <c r="F86" s="60">
        <v>244000</v>
      </c>
      <c r="G86" s="20">
        <f t="shared" si="6"/>
        <v>244000</v>
      </c>
      <c r="H86" s="18"/>
      <c r="I86" s="67"/>
      <c r="J86" s="67"/>
    </row>
    <row r="87" spans="1:10">
      <c r="A87" s="81" t="s">
        <v>155</v>
      </c>
      <c r="B87" s="71">
        <v>0</v>
      </c>
      <c r="C87" s="60"/>
      <c r="D87" s="61">
        <f t="shared" si="5"/>
        <v>0</v>
      </c>
      <c r="E87" s="21">
        <v>0</v>
      </c>
      <c r="F87" s="60">
        <v>0</v>
      </c>
      <c r="G87" s="20">
        <f t="shared" si="6"/>
        <v>0</v>
      </c>
      <c r="H87" s="67"/>
      <c r="I87" s="67"/>
      <c r="J87" s="67"/>
    </row>
    <row r="88" spans="1:10">
      <c r="A88" s="74" t="s">
        <v>28</v>
      </c>
      <c r="B88" s="90">
        <f>SUM(B79:B87)</f>
        <v>220000</v>
      </c>
      <c r="C88" s="90">
        <f>SUM(C79:C87)</f>
        <v>5856000</v>
      </c>
      <c r="D88" s="61">
        <f t="shared" si="5"/>
        <v>5636000</v>
      </c>
      <c r="E88" s="91">
        <f>SUM(E79:E87)</f>
        <v>781200</v>
      </c>
      <c r="F88" s="70">
        <f>SUM(F79:F87)</f>
        <v>5856000</v>
      </c>
      <c r="G88" s="17">
        <f>SUM(G79:G87)</f>
        <v>5074800</v>
      </c>
      <c r="H88" s="91"/>
      <c r="I88" s="91"/>
      <c r="J88" s="17"/>
    </row>
    <row r="89" spans="1:10">
      <c r="A89" s="92"/>
      <c r="B89" s="93"/>
      <c r="C89" s="93"/>
      <c r="D89" s="93"/>
      <c r="E89" s="78"/>
      <c r="F89" s="103"/>
      <c r="G89" s="78"/>
      <c r="H89" s="78"/>
      <c r="I89" s="78"/>
      <c r="J89" s="78"/>
    </row>
    <row r="90" spans="1:10" ht="22.5">
      <c r="A90" s="104" t="s">
        <v>67</v>
      </c>
      <c r="B90" s="96"/>
      <c r="C90" s="96"/>
      <c r="D90" s="96"/>
      <c r="E90" s="98"/>
      <c r="F90" s="70"/>
      <c r="G90" s="98"/>
      <c r="H90" s="98"/>
      <c r="I90" s="98"/>
      <c r="J90" s="98"/>
    </row>
    <row r="91" spans="1:10">
      <c r="A91" s="66" t="s">
        <v>68</v>
      </c>
      <c r="B91" s="65">
        <v>0</v>
      </c>
      <c r="C91" s="60">
        <v>0</v>
      </c>
      <c r="D91" s="61">
        <f t="shared" ref="D91:D100" si="7">C91-B91</f>
        <v>0</v>
      </c>
      <c r="E91" s="21">
        <v>0</v>
      </c>
      <c r="F91" s="60">
        <v>0</v>
      </c>
      <c r="G91" s="20">
        <f t="shared" ref="G91:G99" si="8">F91-E91</f>
        <v>0</v>
      </c>
      <c r="H91" s="98"/>
      <c r="I91" s="98"/>
      <c r="J91" s="98"/>
    </row>
    <row r="92" spans="1:10">
      <c r="A92" s="66" t="s">
        <v>69</v>
      </c>
      <c r="B92" s="105">
        <v>0</v>
      </c>
      <c r="C92" s="106">
        <v>0</v>
      </c>
      <c r="D92" s="61">
        <f t="shared" si="7"/>
        <v>0</v>
      </c>
      <c r="E92" s="21">
        <v>0</v>
      </c>
      <c r="F92" s="106">
        <v>0</v>
      </c>
      <c r="G92" s="20">
        <f t="shared" si="8"/>
        <v>0</v>
      </c>
      <c r="H92" s="98"/>
      <c r="I92" s="98"/>
      <c r="J92" s="98"/>
    </row>
    <row r="93" spans="1:10">
      <c r="A93" s="81" t="s">
        <v>70</v>
      </c>
      <c r="B93" s="65">
        <v>0</v>
      </c>
      <c r="C93" s="60">
        <v>0</v>
      </c>
      <c r="D93" s="61">
        <f t="shared" si="7"/>
        <v>0</v>
      </c>
      <c r="E93" s="86">
        <v>0</v>
      </c>
      <c r="F93" s="60">
        <v>0</v>
      </c>
      <c r="G93" s="23">
        <f t="shared" si="8"/>
        <v>0</v>
      </c>
      <c r="H93" s="86"/>
      <c r="I93" s="84"/>
      <c r="J93" s="13"/>
    </row>
    <row r="94" spans="1:10">
      <c r="A94" s="59" t="s">
        <v>71</v>
      </c>
      <c r="B94" s="62">
        <v>1655096.43</v>
      </c>
      <c r="C94" s="60">
        <v>488000</v>
      </c>
      <c r="D94" s="61">
        <f t="shared" si="7"/>
        <v>-1167096.43</v>
      </c>
      <c r="E94" s="62">
        <v>1655096.43</v>
      </c>
      <c r="F94" s="60">
        <v>488000</v>
      </c>
      <c r="G94" s="23">
        <f t="shared" si="8"/>
        <v>-1167096.43</v>
      </c>
      <c r="H94" s="86"/>
      <c r="I94" s="107"/>
      <c r="J94" s="13"/>
    </row>
    <row r="95" spans="1:10">
      <c r="A95" s="59" t="s">
        <v>72</v>
      </c>
      <c r="B95" s="65">
        <v>0</v>
      </c>
      <c r="C95" s="60">
        <v>0</v>
      </c>
      <c r="D95" s="61">
        <f t="shared" si="7"/>
        <v>0</v>
      </c>
      <c r="E95" s="86">
        <v>0</v>
      </c>
      <c r="F95" s="60">
        <v>0</v>
      </c>
      <c r="G95" s="23">
        <f t="shared" si="8"/>
        <v>0</v>
      </c>
      <c r="H95" s="86"/>
      <c r="I95" s="84"/>
      <c r="J95" s="13"/>
    </row>
    <row r="96" spans="1:10">
      <c r="A96" s="59" t="s">
        <v>73</v>
      </c>
      <c r="B96" s="71">
        <v>0</v>
      </c>
      <c r="C96" s="60">
        <v>0</v>
      </c>
      <c r="D96" s="61">
        <f t="shared" si="7"/>
        <v>0</v>
      </c>
      <c r="E96" s="86">
        <v>0</v>
      </c>
      <c r="F96" s="60">
        <v>0</v>
      </c>
      <c r="G96" s="23">
        <f t="shared" si="8"/>
        <v>0</v>
      </c>
      <c r="H96" s="86"/>
      <c r="I96" s="84"/>
      <c r="J96" s="13"/>
    </row>
    <row r="97" spans="1:10">
      <c r="A97" s="63" t="s">
        <v>167</v>
      </c>
      <c r="B97" s="62">
        <v>69720</v>
      </c>
      <c r="C97" s="60">
        <v>524600</v>
      </c>
      <c r="D97" s="61">
        <f t="shared" si="7"/>
        <v>454880</v>
      </c>
      <c r="E97" s="86">
        <v>251200</v>
      </c>
      <c r="F97" s="60">
        <v>524600</v>
      </c>
      <c r="G97" s="23">
        <f t="shared" si="8"/>
        <v>273400</v>
      </c>
      <c r="H97" s="108"/>
      <c r="I97" s="56"/>
      <c r="J97" s="56"/>
    </row>
    <row r="98" spans="1:10">
      <c r="A98" s="73" t="s">
        <v>74</v>
      </c>
      <c r="B98" s="62">
        <v>0</v>
      </c>
      <c r="C98" s="60">
        <v>1220000</v>
      </c>
      <c r="D98" s="61">
        <f t="shared" si="7"/>
        <v>1220000</v>
      </c>
      <c r="E98" s="21">
        <v>0</v>
      </c>
      <c r="F98" s="60">
        <v>1220000</v>
      </c>
      <c r="G98" s="23">
        <f t="shared" si="8"/>
        <v>1220000</v>
      </c>
      <c r="H98" s="56"/>
      <c r="I98" s="56"/>
      <c r="J98" s="56"/>
    </row>
    <row r="99" spans="1:10">
      <c r="A99" s="81" t="s">
        <v>155</v>
      </c>
      <c r="B99" s="71">
        <v>0</v>
      </c>
      <c r="C99" s="60">
        <v>0</v>
      </c>
      <c r="D99" s="61">
        <f t="shared" si="7"/>
        <v>0</v>
      </c>
      <c r="E99" s="21">
        <v>0</v>
      </c>
      <c r="F99" s="60">
        <v>0</v>
      </c>
      <c r="G99" s="23">
        <f t="shared" si="8"/>
        <v>0</v>
      </c>
      <c r="H99" s="56"/>
      <c r="I99" s="56"/>
      <c r="J99" s="56"/>
    </row>
    <row r="100" spans="1:10">
      <c r="A100" s="74" t="s">
        <v>28</v>
      </c>
      <c r="B100" s="90">
        <f>SUM(B91:B99)</f>
        <v>1724816.43</v>
      </c>
      <c r="C100" s="106">
        <f>SUM(C90:C99)</f>
        <v>2232600</v>
      </c>
      <c r="D100" s="109">
        <f t="shared" si="7"/>
        <v>507783.57000000007</v>
      </c>
      <c r="E100" s="91">
        <f>SUM(E91:E99)</f>
        <v>1906296.43</v>
      </c>
      <c r="F100" s="106">
        <f>SUM(F90:F99)</f>
        <v>2232600</v>
      </c>
      <c r="G100" s="17">
        <f>SUM(G91:G99)</f>
        <v>326303.57000000007</v>
      </c>
      <c r="H100" s="91"/>
      <c r="I100" s="91"/>
      <c r="J100" s="17"/>
    </row>
    <row r="101" spans="1:10">
      <c r="A101" s="92"/>
      <c r="B101" s="93"/>
      <c r="C101" s="77"/>
      <c r="D101" s="77"/>
      <c r="E101" s="78"/>
      <c r="F101" s="110"/>
      <c r="G101" s="78"/>
      <c r="H101" s="78"/>
      <c r="I101" s="78"/>
      <c r="J101" s="78"/>
    </row>
    <row r="102" spans="1:10">
      <c r="A102" s="59" t="s">
        <v>75</v>
      </c>
      <c r="B102" s="71">
        <v>28935</v>
      </c>
      <c r="C102" s="59">
        <v>0</v>
      </c>
      <c r="D102" s="71">
        <f>C102-B102</f>
        <v>-28935</v>
      </c>
      <c r="E102" s="111">
        <v>40875</v>
      </c>
      <c r="F102" s="107">
        <v>0</v>
      </c>
      <c r="G102" s="108">
        <f>F102-E102</f>
        <v>-40875</v>
      </c>
      <c r="H102" s="111"/>
      <c r="I102" s="112"/>
      <c r="J102" s="108"/>
    </row>
    <row r="103" spans="1:10">
      <c r="A103" s="59" t="s">
        <v>168</v>
      </c>
      <c r="B103" s="71">
        <v>7103320</v>
      </c>
      <c r="C103" s="59">
        <v>0</v>
      </c>
      <c r="D103" s="71">
        <f>C103-B103</f>
        <v>-7103320</v>
      </c>
      <c r="E103" s="111">
        <v>8729144.5</v>
      </c>
      <c r="F103" s="107">
        <v>0</v>
      </c>
      <c r="G103" s="108">
        <f>F103-E103</f>
        <v>-8729144.5</v>
      </c>
      <c r="H103" s="111"/>
      <c r="I103" s="112"/>
      <c r="J103" s="108"/>
    </row>
    <row r="104" spans="1:10">
      <c r="A104" s="95" t="s">
        <v>76</v>
      </c>
      <c r="B104" s="90">
        <f>B102+B100+B88+B76+B32+B103</f>
        <v>116460698.41</v>
      </c>
      <c r="C104" s="90">
        <f>C100+C88+C76+C32</f>
        <v>749612636.13999999</v>
      </c>
      <c r="D104" s="109">
        <f>D103+D102+D88+D76+D32+D100</f>
        <v>633151937.73000014</v>
      </c>
      <c r="E104" s="113">
        <f>E103+E102+E100+E88+E76+E32</f>
        <v>216126136.56</v>
      </c>
      <c r="F104" s="84">
        <f>F103+F102+F100+F88+F76+F32</f>
        <v>749612636.13999999</v>
      </c>
      <c r="G104" s="114">
        <f>G103+G102+G100+G88+G76+G32</f>
        <v>533486499.58000004</v>
      </c>
      <c r="H104" s="113"/>
      <c r="I104" s="113"/>
      <c r="J104" s="114"/>
    </row>
    <row r="105" spans="1:10">
      <c r="A105" s="33"/>
      <c r="B105" s="33"/>
      <c r="C105" s="33"/>
      <c r="D105" s="33"/>
      <c r="E105" s="33"/>
      <c r="F105" s="33"/>
      <c r="G105" s="33"/>
      <c r="H105" s="33"/>
      <c r="I105" s="33"/>
      <c r="J105" s="33"/>
    </row>
    <row r="106" spans="1:10">
      <c r="A106" s="33" t="s">
        <v>77</v>
      </c>
      <c r="B106" s="33"/>
      <c r="C106" s="115"/>
      <c r="D106" s="115"/>
      <c r="E106" s="33"/>
      <c r="F106" s="33"/>
      <c r="G106" s="33"/>
      <c r="H106" s="33"/>
      <c r="I106" s="33"/>
      <c r="J106" s="33"/>
    </row>
    <row r="107" spans="1:10">
      <c r="A107" s="33" t="s">
        <v>78</v>
      </c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 ht="165">
      <c r="A108" s="116" t="s">
        <v>199</v>
      </c>
      <c r="B108" s="116"/>
      <c r="C108" s="116"/>
      <c r="D108" s="117"/>
      <c r="F108" s="25"/>
      <c r="H108" s="25">
        <f>F104-E104</f>
        <v>533486499.57999998</v>
      </c>
    </row>
    <row r="109" spans="1:10">
      <c r="B109" s="116"/>
      <c r="C109" s="116"/>
      <c r="D109" s="116"/>
    </row>
  </sheetData>
  <mergeCells count="8">
    <mergeCell ref="B10:D10"/>
    <mergeCell ref="E10:G10"/>
    <mergeCell ref="A1:H1"/>
    <mergeCell ref="A2:H2"/>
    <mergeCell ref="A3:H3"/>
    <mergeCell ref="A4:H4"/>
    <mergeCell ref="B9:D9"/>
    <mergeCell ref="E9:G9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3"/>
  <sheetViews>
    <sheetView workbookViewId="0">
      <selection activeCell="C10" sqref="C10"/>
    </sheetView>
  </sheetViews>
  <sheetFormatPr defaultRowHeight="15"/>
  <cols>
    <col min="1" max="1" width="42" customWidth="1"/>
    <col min="2" max="2" width="40.42578125" customWidth="1"/>
    <col min="3" max="3" width="44.140625" customWidth="1"/>
    <col min="6" max="6" width="15.28515625" bestFit="1" customWidth="1"/>
  </cols>
  <sheetData>
    <row r="1" spans="1:3">
      <c r="A1" s="26"/>
      <c r="B1" s="27"/>
      <c r="C1" s="28"/>
    </row>
    <row r="2" spans="1:3">
      <c r="A2" s="250"/>
      <c r="B2" s="251"/>
      <c r="C2" s="252"/>
    </row>
    <row r="3" spans="1:3" ht="15" customHeight="1">
      <c r="A3" s="253" t="s">
        <v>0</v>
      </c>
      <c r="B3" s="253"/>
      <c r="C3" s="253"/>
    </row>
    <row r="4" spans="1:3" ht="15" customHeight="1">
      <c r="A4" s="254" t="s">
        <v>79</v>
      </c>
      <c r="B4" s="255"/>
      <c r="C4" s="256"/>
    </row>
    <row r="5" spans="1:3">
      <c r="A5" s="254" t="s">
        <v>80</v>
      </c>
      <c r="B5" s="255"/>
      <c r="C5" s="256"/>
    </row>
    <row r="6" spans="1:3">
      <c r="A6" s="257" t="s">
        <v>192</v>
      </c>
      <c r="B6" s="258"/>
      <c r="C6" s="259"/>
    </row>
    <row r="7" spans="1:3">
      <c r="A7" s="118"/>
      <c r="B7" s="119" t="s">
        <v>213</v>
      </c>
      <c r="C7" s="119" t="s">
        <v>212</v>
      </c>
    </row>
    <row r="8" spans="1:3">
      <c r="A8" s="118"/>
      <c r="B8" s="119"/>
      <c r="C8" s="120"/>
    </row>
    <row r="9" spans="1:3">
      <c r="A9" s="118"/>
      <c r="B9" s="119"/>
      <c r="C9" s="120"/>
    </row>
    <row r="10" spans="1:3">
      <c r="A10" s="121"/>
      <c r="B10" s="122"/>
      <c r="C10" s="123"/>
    </row>
    <row r="11" spans="1:3">
      <c r="A11" s="124"/>
      <c r="B11" s="125"/>
      <c r="C11" s="126" t="s">
        <v>81</v>
      </c>
    </row>
    <row r="12" spans="1:3" ht="26.25">
      <c r="A12" s="127" t="s">
        <v>82</v>
      </c>
      <c r="B12" s="29" t="s">
        <v>102</v>
      </c>
      <c r="C12" s="126" t="s">
        <v>191</v>
      </c>
    </row>
    <row r="13" spans="1:3">
      <c r="A13" s="128"/>
      <c r="B13" s="129"/>
      <c r="C13" s="130">
        <v>43373</v>
      </c>
    </row>
    <row r="14" spans="1:3">
      <c r="A14" s="131"/>
      <c r="B14" s="132" t="s">
        <v>169</v>
      </c>
      <c r="C14" s="133" t="s">
        <v>169</v>
      </c>
    </row>
    <row r="15" spans="1:3">
      <c r="A15" s="134" t="s">
        <v>83</v>
      </c>
      <c r="B15" s="135"/>
      <c r="C15" s="136"/>
    </row>
    <row r="16" spans="1:3">
      <c r="A16" s="118"/>
      <c r="B16" s="137"/>
      <c r="C16" s="138"/>
    </row>
    <row r="17" spans="1:6">
      <c r="A17" s="139" t="s">
        <v>84</v>
      </c>
      <c r="B17" s="140"/>
      <c r="C17" s="141"/>
      <c r="F17" s="25"/>
    </row>
    <row r="18" spans="1:6">
      <c r="A18" s="142" t="s">
        <v>170</v>
      </c>
      <c r="B18" s="140">
        <v>120878416.68000001</v>
      </c>
      <c r="C18" s="140">
        <v>120878416.68000001</v>
      </c>
    </row>
    <row r="19" spans="1:6" ht="20.25" customHeight="1">
      <c r="A19" s="143" t="s">
        <v>171</v>
      </c>
      <c r="B19" s="140">
        <v>787318.23</v>
      </c>
      <c r="C19" s="140">
        <v>787318.23</v>
      </c>
    </row>
    <row r="20" spans="1:6">
      <c r="A20" s="143" t="s">
        <v>172</v>
      </c>
      <c r="B20" s="140">
        <v>37403216.579999998</v>
      </c>
      <c r="C20" s="140">
        <v>37403216.579999998</v>
      </c>
    </row>
    <row r="21" spans="1:6">
      <c r="A21" s="143" t="s">
        <v>173</v>
      </c>
      <c r="B21" s="140">
        <v>170113.81</v>
      </c>
      <c r="C21" s="140">
        <v>170113.81</v>
      </c>
    </row>
    <row r="22" spans="1:6">
      <c r="A22" s="143" t="s">
        <v>174</v>
      </c>
      <c r="B22" s="144">
        <v>18615755.09</v>
      </c>
      <c r="C22" s="144">
        <v>18646195.25</v>
      </c>
      <c r="F22" s="25"/>
    </row>
    <row r="23" spans="1:6">
      <c r="A23" s="145" t="s">
        <v>85</v>
      </c>
      <c r="B23" s="146">
        <f>SUM(B18:B22)</f>
        <v>177854820.39000002</v>
      </c>
      <c r="C23" s="146">
        <f>SUM(C18:C22)</f>
        <v>177885260.55000001</v>
      </c>
    </row>
    <row r="24" spans="1:6">
      <c r="A24" s="147" t="s">
        <v>86</v>
      </c>
      <c r="B24" s="148"/>
      <c r="C24" s="149"/>
      <c r="F24" s="25"/>
    </row>
    <row r="25" spans="1:6">
      <c r="A25" s="150" t="s">
        <v>87</v>
      </c>
      <c r="B25" s="151">
        <v>0</v>
      </c>
      <c r="C25" s="149">
        <v>0</v>
      </c>
      <c r="F25" s="184"/>
    </row>
    <row r="26" spans="1:6">
      <c r="A26" s="152" t="s">
        <v>175</v>
      </c>
      <c r="B26" s="153"/>
      <c r="C26" s="149"/>
    </row>
    <row r="27" spans="1:6" ht="22.5">
      <c r="A27" s="99" t="s">
        <v>176</v>
      </c>
      <c r="B27" s="154">
        <v>294867679.06</v>
      </c>
      <c r="C27" s="154">
        <v>295351147.95999998</v>
      </c>
      <c r="F27" s="25"/>
    </row>
    <row r="28" spans="1:6">
      <c r="A28" s="99" t="s">
        <v>177</v>
      </c>
      <c r="B28" s="156">
        <v>0</v>
      </c>
      <c r="C28" s="157">
        <v>0</v>
      </c>
      <c r="F28" s="184"/>
    </row>
    <row r="29" spans="1:6">
      <c r="A29" s="158" t="s">
        <v>178</v>
      </c>
      <c r="B29" s="159">
        <v>521637</v>
      </c>
      <c r="C29" s="159">
        <v>521637</v>
      </c>
    </row>
    <row r="30" spans="1:6">
      <c r="A30" s="158" t="s">
        <v>210</v>
      </c>
      <c r="B30" s="233">
        <v>0</v>
      </c>
      <c r="C30" s="234">
        <v>302850.62</v>
      </c>
    </row>
    <row r="31" spans="1:6" ht="15.75">
      <c r="A31" s="150" t="s">
        <v>85</v>
      </c>
      <c r="B31" s="160">
        <f>SUM(B27:B29)</f>
        <v>295389316.06</v>
      </c>
      <c r="C31" s="281">
        <f>SUM(C27:C30)</f>
        <v>296175635.57999998</v>
      </c>
      <c r="F31" s="25"/>
    </row>
    <row r="32" spans="1:6">
      <c r="A32" s="161" t="s">
        <v>179</v>
      </c>
      <c r="B32" s="162"/>
      <c r="C32" s="155"/>
      <c r="F32" s="25"/>
    </row>
    <row r="33" spans="1:6">
      <c r="A33" s="102" t="s">
        <v>88</v>
      </c>
      <c r="B33" s="163">
        <v>364800</v>
      </c>
      <c r="C33" s="235">
        <v>532000</v>
      </c>
      <c r="F33" s="184"/>
    </row>
    <row r="34" spans="1:6">
      <c r="A34" s="102" t="s">
        <v>89</v>
      </c>
      <c r="B34" s="163">
        <v>4010000</v>
      </c>
      <c r="C34" s="277">
        <v>12271800</v>
      </c>
      <c r="F34" s="184"/>
    </row>
    <row r="35" spans="1:6">
      <c r="A35" s="102" t="s">
        <v>90</v>
      </c>
      <c r="B35" s="163">
        <v>140000</v>
      </c>
      <c r="C35" s="277">
        <v>1950000</v>
      </c>
    </row>
    <row r="36" spans="1:6">
      <c r="A36" s="102" t="s">
        <v>180</v>
      </c>
      <c r="B36" s="163">
        <v>52000</v>
      </c>
      <c r="C36" s="140">
        <v>52000</v>
      </c>
      <c r="F36" s="25"/>
    </row>
    <row r="37" spans="1:6">
      <c r="A37" s="102" t="s">
        <v>181</v>
      </c>
      <c r="B37" s="163">
        <v>710000</v>
      </c>
      <c r="C37" s="140">
        <v>710000</v>
      </c>
      <c r="F37" s="25"/>
    </row>
    <row r="38" spans="1:6">
      <c r="A38" s="102" t="s">
        <v>200</v>
      </c>
      <c r="B38" s="163">
        <v>0</v>
      </c>
      <c r="C38" s="140">
        <v>95000</v>
      </c>
    </row>
    <row r="39" spans="1:6">
      <c r="A39" s="150" t="s">
        <v>85</v>
      </c>
      <c r="B39" s="164">
        <f>SUM(B33:B38)</f>
        <v>5276800</v>
      </c>
      <c r="C39" s="278">
        <f>SUM(C33:C38)</f>
        <v>15610800</v>
      </c>
    </row>
    <row r="40" spans="1:6" ht="16.5" thickBot="1">
      <c r="A40" s="165" t="s">
        <v>91</v>
      </c>
      <c r="B40" s="280">
        <f>B39+B31+B23</f>
        <v>478520936.45000005</v>
      </c>
      <c r="C40" s="279">
        <f>C23+C31+C39</f>
        <v>489671696.13</v>
      </c>
      <c r="F40" s="25"/>
    </row>
    <row r="41" spans="1:6">
      <c r="A41" s="166"/>
      <c r="B41" s="167"/>
      <c r="C41" s="168"/>
    </row>
    <row r="42" spans="1:6" ht="22.5">
      <c r="A42" s="104" t="s">
        <v>92</v>
      </c>
      <c r="B42" s="102"/>
      <c r="C42" s="149"/>
    </row>
    <row r="43" spans="1:6">
      <c r="A43" s="102" t="s">
        <v>93</v>
      </c>
      <c r="B43" s="169">
        <v>54607815.719999999</v>
      </c>
      <c r="C43" s="137">
        <v>58989579.350000001</v>
      </c>
    </row>
    <row r="44" spans="1:6">
      <c r="A44" s="102" t="s">
        <v>94</v>
      </c>
      <c r="B44" s="169">
        <v>52775811.259999998</v>
      </c>
      <c r="C44" s="137">
        <v>145679041.28</v>
      </c>
    </row>
    <row r="45" spans="1:6">
      <c r="A45" s="102" t="s">
        <v>95</v>
      </c>
      <c r="B45" s="169">
        <v>220000</v>
      </c>
      <c r="C45" s="137">
        <v>781200</v>
      </c>
    </row>
    <row r="46" spans="1:6">
      <c r="A46" s="102" t="s">
        <v>96</v>
      </c>
      <c r="B46" s="169">
        <v>1724816.43</v>
      </c>
      <c r="C46" s="137">
        <v>1906296.43</v>
      </c>
    </row>
    <row r="47" spans="1:6">
      <c r="A47" s="102" t="s">
        <v>75</v>
      </c>
      <c r="B47" s="170">
        <v>28935</v>
      </c>
      <c r="C47" s="137">
        <v>40875</v>
      </c>
    </row>
    <row r="48" spans="1:6" ht="18.75">
      <c r="A48" s="165" t="s">
        <v>97</v>
      </c>
      <c r="B48" s="171">
        <f>SUM(B43:B47)</f>
        <v>109357378.41</v>
      </c>
      <c r="C48" s="282">
        <f>SUM(C43:C47)</f>
        <v>207396992.06</v>
      </c>
    </row>
    <row r="49" spans="1:6">
      <c r="A49" s="165" t="s">
        <v>182</v>
      </c>
      <c r="B49" s="172"/>
      <c r="C49" s="236"/>
    </row>
    <row r="50" spans="1:6" ht="22.5">
      <c r="A50" s="173" t="s">
        <v>183</v>
      </c>
      <c r="B50" s="174">
        <v>6700000</v>
      </c>
      <c r="C50" s="238">
        <v>6895000</v>
      </c>
    </row>
    <row r="51" spans="1:6">
      <c r="A51" s="173" t="s">
        <v>184</v>
      </c>
      <c r="B51" s="174">
        <v>140000</v>
      </c>
      <c r="C51" s="174">
        <v>140000</v>
      </c>
    </row>
    <row r="52" spans="1:6" ht="22.5" customHeight="1">
      <c r="A52" s="173" t="s">
        <v>185</v>
      </c>
      <c r="B52" s="174">
        <v>42000</v>
      </c>
      <c r="C52" s="174">
        <v>42000</v>
      </c>
    </row>
    <row r="53" spans="1:6">
      <c r="A53" s="173" t="s">
        <v>186</v>
      </c>
      <c r="B53" s="174">
        <v>210000</v>
      </c>
      <c r="C53" s="174">
        <v>210000</v>
      </c>
    </row>
    <row r="54" spans="1:6">
      <c r="A54" s="237" t="s">
        <v>201</v>
      </c>
      <c r="B54" s="174">
        <v>0</v>
      </c>
      <c r="C54" s="174">
        <v>607140</v>
      </c>
    </row>
    <row r="55" spans="1:6">
      <c r="A55" s="173" t="s">
        <v>202</v>
      </c>
      <c r="B55" s="174">
        <v>0</v>
      </c>
      <c r="C55" s="174">
        <v>650000</v>
      </c>
    </row>
    <row r="56" spans="1:6">
      <c r="A56" s="173" t="s">
        <v>203</v>
      </c>
      <c r="B56" s="174">
        <v>0</v>
      </c>
      <c r="C56" s="174">
        <v>100000</v>
      </c>
    </row>
    <row r="57" spans="1:6">
      <c r="A57" s="173" t="s">
        <v>204</v>
      </c>
      <c r="B57" s="174">
        <v>0</v>
      </c>
      <c r="C57" s="174">
        <v>28073</v>
      </c>
    </row>
    <row r="58" spans="1:6">
      <c r="A58" s="173" t="s">
        <v>205</v>
      </c>
      <c r="B58" s="174"/>
      <c r="C58" s="174">
        <v>40000</v>
      </c>
    </row>
    <row r="59" spans="1:6" ht="20.25" customHeight="1">
      <c r="A59" s="102" t="s">
        <v>187</v>
      </c>
      <c r="B59" s="170">
        <v>11290</v>
      </c>
      <c r="C59" s="239">
        <v>16877.5</v>
      </c>
      <c r="F59" s="25">
        <f>C48+C61</f>
        <v>216126136.56</v>
      </c>
    </row>
    <row r="60" spans="1:6">
      <c r="A60" s="102" t="s">
        <v>188</v>
      </c>
      <c r="B60" s="170">
        <v>30</v>
      </c>
      <c r="C60" s="239">
        <v>54</v>
      </c>
    </row>
    <row r="61" spans="1:6" ht="16.5" thickBot="1">
      <c r="A61" s="175" t="s">
        <v>98</v>
      </c>
      <c r="B61" s="176">
        <f>SUM(B50:B60)</f>
        <v>7103320</v>
      </c>
      <c r="C61" s="240">
        <f>SUM(C50:C60)</f>
        <v>8729144.5</v>
      </c>
    </row>
    <row r="62" spans="1:6" ht="19.5" thickBot="1">
      <c r="A62" s="177" t="s">
        <v>147</v>
      </c>
      <c r="B62" s="178">
        <f>B48+B61</f>
        <v>116460698.41</v>
      </c>
      <c r="C62" s="283">
        <f>C48+C61</f>
        <v>216126136.56</v>
      </c>
    </row>
    <row r="63" spans="1:6" ht="15.75" thickBot="1">
      <c r="A63" s="179" t="s">
        <v>99</v>
      </c>
      <c r="B63" s="180"/>
      <c r="C63" s="181"/>
    </row>
    <row r="64" spans="1:6" ht="20.25" customHeight="1">
      <c r="A64" s="102" t="s">
        <v>100</v>
      </c>
      <c r="B64" s="182"/>
      <c r="C64" s="183"/>
      <c r="F64" t="s">
        <v>211</v>
      </c>
    </row>
    <row r="65" spans="1:6">
      <c r="A65" s="99" t="s">
        <v>171</v>
      </c>
      <c r="B65" s="184">
        <v>787318.23</v>
      </c>
      <c r="C65" s="241">
        <v>0</v>
      </c>
      <c r="F65" s="184">
        <f>103974.55*305.45</f>
        <v>31759026.297499999</v>
      </c>
    </row>
    <row r="66" spans="1:6">
      <c r="A66" s="143" t="s">
        <v>172</v>
      </c>
      <c r="B66" s="170">
        <v>35536726.579999998</v>
      </c>
      <c r="C66" s="186">
        <v>42968126.079999998</v>
      </c>
    </row>
    <row r="67" spans="1:6">
      <c r="A67" s="143" t="s">
        <v>173</v>
      </c>
      <c r="B67" s="170">
        <v>170089.81</v>
      </c>
      <c r="C67" s="186">
        <v>171265.81</v>
      </c>
    </row>
    <row r="68" spans="1:6">
      <c r="A68" s="99" t="s">
        <v>189</v>
      </c>
      <c r="B68" s="185">
        <v>39028434.149999999</v>
      </c>
      <c r="C68" s="185">
        <v>31759026.300000001</v>
      </c>
    </row>
    <row r="69" spans="1:6">
      <c r="A69" s="99" t="s">
        <v>190</v>
      </c>
      <c r="B69" s="186">
        <v>286424990.93000001</v>
      </c>
      <c r="C69" s="185">
        <v>227734654.25</v>
      </c>
    </row>
    <row r="70" spans="1:6" ht="18.75" thickBot="1">
      <c r="A70" s="187" t="s">
        <v>101</v>
      </c>
      <c r="B70" s="188">
        <f>SUM(B65:B69)</f>
        <v>361947559.69999999</v>
      </c>
      <c r="C70" s="284">
        <f>SUM(C65:C69)</f>
        <v>302633072.44</v>
      </c>
    </row>
    <row r="73" spans="1:6">
      <c r="A73" t="s">
        <v>206</v>
      </c>
    </row>
  </sheetData>
  <mergeCells count="5"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E13" sqref="E13"/>
    </sheetView>
  </sheetViews>
  <sheetFormatPr defaultRowHeight="15"/>
  <cols>
    <col min="1" max="1" width="34.85546875" customWidth="1"/>
    <col min="2" max="2" width="30.5703125" customWidth="1"/>
    <col min="3" max="3" width="22.28515625" customWidth="1"/>
    <col min="4" max="4" width="40" customWidth="1"/>
  </cols>
  <sheetData>
    <row r="1" spans="1:4" ht="15" customHeight="1">
      <c r="A1" s="260" t="s">
        <v>0</v>
      </c>
      <c r="B1" s="260"/>
      <c r="C1" s="260"/>
      <c r="D1" s="260"/>
    </row>
    <row r="2" spans="1:4" ht="15" customHeight="1">
      <c r="A2" s="261" t="s">
        <v>104</v>
      </c>
      <c r="B2" s="262"/>
      <c r="C2" s="262"/>
      <c r="D2" s="263"/>
    </row>
    <row r="3" spans="1:4" ht="15" customHeight="1">
      <c r="A3" s="264" t="s">
        <v>105</v>
      </c>
      <c r="B3" s="255"/>
      <c r="C3" s="255"/>
      <c r="D3" s="265"/>
    </row>
    <row r="4" spans="1:4" ht="15" customHeight="1">
      <c r="A4" s="266" t="s">
        <v>195</v>
      </c>
      <c r="B4" s="258"/>
      <c r="C4" s="258"/>
      <c r="D4" s="267"/>
    </row>
    <row r="5" spans="1:4">
      <c r="A5" s="116"/>
      <c r="B5" s="116"/>
      <c r="C5" s="116"/>
      <c r="D5" s="116"/>
    </row>
    <row r="6" spans="1:4">
      <c r="A6" s="116"/>
      <c r="B6" s="116"/>
      <c r="C6" s="116"/>
      <c r="D6" s="116"/>
    </row>
    <row r="7" spans="1:4">
      <c r="A7" s="116"/>
      <c r="B7" s="116"/>
      <c r="C7" s="116"/>
      <c r="D7" s="116"/>
    </row>
    <row r="8" spans="1:4">
      <c r="A8" s="122"/>
      <c r="B8" s="122"/>
      <c r="C8" s="122"/>
      <c r="D8" s="189"/>
    </row>
    <row r="9" spans="1:4">
      <c r="A9" s="125"/>
      <c r="B9" s="125"/>
      <c r="C9" s="190" t="s">
        <v>81</v>
      </c>
      <c r="D9" s="190" t="s">
        <v>81</v>
      </c>
    </row>
    <row r="10" spans="1:4" ht="64.5" customHeight="1">
      <c r="A10" s="191" t="s">
        <v>106</v>
      </c>
      <c r="B10" s="29" t="s">
        <v>193</v>
      </c>
      <c r="C10" s="190" t="s">
        <v>196</v>
      </c>
      <c r="D10" s="192" t="s">
        <v>107</v>
      </c>
    </row>
    <row r="11" spans="1:4">
      <c r="A11" s="193"/>
      <c r="B11" s="194"/>
      <c r="C11" s="194"/>
      <c r="D11" s="194"/>
    </row>
    <row r="12" spans="1:4">
      <c r="A12" s="195"/>
      <c r="B12" s="196" t="s">
        <v>169</v>
      </c>
      <c r="C12" s="57"/>
      <c r="D12" s="57"/>
    </row>
    <row r="13" spans="1:4">
      <c r="A13" s="197" t="s">
        <v>108</v>
      </c>
      <c r="B13" s="198">
        <v>2212998140.02</v>
      </c>
      <c r="C13" s="275">
        <v>3336735107.0999999</v>
      </c>
      <c r="D13" s="199"/>
    </row>
    <row r="14" spans="1:4">
      <c r="A14" s="200"/>
      <c r="B14" s="57"/>
      <c r="C14" s="137"/>
      <c r="D14" s="57"/>
    </row>
    <row r="15" spans="1:4">
      <c r="A15" s="200"/>
      <c r="B15" s="57"/>
      <c r="C15" s="137"/>
      <c r="D15" s="57"/>
    </row>
    <row r="16" spans="1:4" ht="27.75">
      <c r="A16" s="197" t="s">
        <v>194</v>
      </c>
      <c r="B16" s="201">
        <f>B13*0.25</f>
        <v>553249535.005</v>
      </c>
      <c r="C16" s="274">
        <f>0.25*C13</f>
        <v>834183776.77499998</v>
      </c>
      <c r="D16" s="57"/>
    </row>
    <row r="17" spans="1:4">
      <c r="A17" s="202"/>
      <c r="B17" s="203"/>
      <c r="C17" s="203"/>
      <c r="D17" s="57"/>
    </row>
    <row r="18" spans="1:4" ht="15.75" thickBot="1">
      <c r="A18" s="204"/>
      <c r="B18" s="203"/>
      <c r="C18" s="203"/>
      <c r="D18" s="57"/>
    </row>
    <row r="19" spans="1:4" ht="15.75" thickBot="1">
      <c r="A19" s="205"/>
      <c r="B19" s="206"/>
      <c r="C19" s="206"/>
      <c r="D19" s="206"/>
    </row>
    <row r="20" spans="1:4" ht="15.75" thickBot="1">
      <c r="A20" s="207" t="s">
        <v>109</v>
      </c>
      <c r="B20" s="276">
        <f>B16+B13</f>
        <v>2766247675.0250001</v>
      </c>
      <c r="C20" s="276">
        <f>C13+C16</f>
        <v>4170918883.875</v>
      </c>
      <c r="D20" s="206"/>
    </row>
    <row r="21" spans="1:4">
      <c r="A21" s="208"/>
      <c r="B21" s="209"/>
      <c r="C21" s="209"/>
      <c r="D21" s="209"/>
    </row>
    <row r="22" spans="1:4">
      <c r="A22" s="210"/>
      <c r="B22" s="116"/>
      <c r="C22" s="116"/>
      <c r="D22" s="116"/>
    </row>
    <row r="23" spans="1:4">
      <c r="A23" s="116"/>
      <c r="B23" s="116"/>
      <c r="C23" s="116"/>
      <c r="D23" s="116"/>
    </row>
    <row r="24" spans="1:4" ht="30">
      <c r="A24" s="116" t="s">
        <v>110</v>
      </c>
      <c r="B24" s="116"/>
      <c r="C24" s="116"/>
      <c r="D24" s="11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F11" sqref="F11"/>
    </sheetView>
  </sheetViews>
  <sheetFormatPr defaultRowHeight="15"/>
  <cols>
    <col min="1" max="1" width="22.140625" customWidth="1"/>
    <col min="2" max="2" width="32.5703125" customWidth="1"/>
    <col min="3" max="3" width="26.7109375" customWidth="1"/>
    <col min="4" max="4" width="18.140625" customWidth="1"/>
    <col min="5" max="5" width="20.140625" customWidth="1"/>
    <col min="6" max="6" width="27.5703125" customWidth="1"/>
    <col min="8" max="8" width="16.5703125" customWidth="1"/>
  </cols>
  <sheetData>
    <row r="1" spans="1:8" ht="15" customHeight="1">
      <c r="A1" s="260" t="s">
        <v>0</v>
      </c>
      <c r="B1" s="260"/>
      <c r="C1" s="260"/>
      <c r="D1" s="260"/>
      <c r="E1" s="260"/>
      <c r="F1" s="260"/>
    </row>
    <row r="2" spans="1:8" ht="15" customHeight="1">
      <c r="A2" s="261" t="s">
        <v>104</v>
      </c>
      <c r="B2" s="262"/>
      <c r="C2" s="262"/>
      <c r="D2" s="262"/>
      <c r="E2" s="262"/>
      <c r="F2" s="262"/>
    </row>
    <row r="3" spans="1:8">
      <c r="A3" s="261" t="s">
        <v>111</v>
      </c>
      <c r="B3" s="262"/>
      <c r="C3" s="262"/>
      <c r="D3" s="262"/>
      <c r="E3" s="262"/>
      <c r="F3" s="262"/>
    </row>
    <row r="4" spans="1:8">
      <c r="A4" s="211"/>
      <c r="B4" s="212"/>
      <c r="C4" s="213"/>
      <c r="D4" s="116"/>
      <c r="E4" s="116"/>
      <c r="F4" s="116"/>
    </row>
    <row r="5" spans="1:8" ht="72.75" customHeight="1">
      <c r="A5" s="31" t="s">
        <v>112</v>
      </c>
      <c r="B5" s="31" t="s">
        <v>113</v>
      </c>
      <c r="C5" s="31" t="s">
        <v>114</v>
      </c>
      <c r="D5" s="31" t="s">
        <v>115</v>
      </c>
      <c r="E5" s="31" t="s">
        <v>116</v>
      </c>
      <c r="F5" s="31" t="s">
        <v>117</v>
      </c>
      <c r="G5" s="32"/>
    </row>
    <row r="6" spans="1:8">
      <c r="A6" s="196"/>
      <c r="B6" s="196"/>
      <c r="C6" s="196"/>
      <c r="D6" s="214" t="s">
        <v>209</v>
      </c>
      <c r="E6" s="214" t="s">
        <v>209</v>
      </c>
      <c r="F6" s="214" t="s">
        <v>209</v>
      </c>
    </row>
    <row r="7" spans="1:8" ht="36" customHeight="1">
      <c r="A7" s="215" t="s">
        <v>93</v>
      </c>
      <c r="B7" s="215" t="s">
        <v>118</v>
      </c>
      <c r="C7" s="216">
        <f>E7/D7</f>
        <v>0.3318996206675025</v>
      </c>
      <c r="D7" s="217">
        <f>177733193.04/305.45</f>
        <v>581873.27889998362</v>
      </c>
      <c r="E7" s="217">
        <f>'USES OF FUND AS PER PIM'!E32/305.45</f>
        <v>193123.52054346044</v>
      </c>
      <c r="F7" s="217">
        <f>D7-E7</f>
        <v>388749.75835652318</v>
      </c>
      <c r="H7" s="226"/>
    </row>
    <row r="8" spans="1:8" ht="49.5" customHeight="1">
      <c r="A8" s="215" t="s">
        <v>94</v>
      </c>
      <c r="B8" s="215" t="s">
        <v>119</v>
      </c>
      <c r="C8" s="216">
        <f>E8/D8</f>
        <v>0.25839199600863472</v>
      </c>
      <c r="D8" s="217">
        <f>563790843.1/305.45</f>
        <v>1845771.2984121789</v>
      </c>
      <c r="E8" s="217">
        <f>'USES OF FUND AS PER PIM'!E76/305.45</f>
        <v>476932.52997217223</v>
      </c>
      <c r="F8" s="217">
        <f>D8-E8</f>
        <v>1368838.7684400068</v>
      </c>
      <c r="H8" s="25"/>
    </row>
    <row r="9" spans="1:8" ht="63" customHeight="1">
      <c r="A9" s="215" t="s">
        <v>95</v>
      </c>
      <c r="B9" s="215" t="s">
        <v>197</v>
      </c>
      <c r="C9" s="216">
        <f>E9/D9</f>
        <v>0.13340163934426233</v>
      </c>
      <c r="D9" s="217">
        <f>5856000/305.45</f>
        <v>19171.713864789654</v>
      </c>
      <c r="E9" s="217">
        <f>'USES OF FUND AS PER PIM'!E88/305.45</f>
        <v>2557.5380586020628</v>
      </c>
      <c r="F9" s="217">
        <f>D9-E9</f>
        <v>16614.175806187592</v>
      </c>
      <c r="H9" s="25"/>
    </row>
    <row r="10" spans="1:8">
      <c r="A10" s="215" t="s">
        <v>96</v>
      </c>
      <c r="B10" s="215" t="s">
        <v>198</v>
      </c>
      <c r="C10" s="216">
        <f>E10/D10</f>
        <v>0.85384593299292311</v>
      </c>
      <c r="D10" s="218">
        <f>2232600/305.45</f>
        <v>7309.2159109510558</v>
      </c>
      <c r="E10" s="218">
        <f>'USES OF FUND AS PER PIM'!E100/305.45</f>
        <v>6240.9442789327222</v>
      </c>
      <c r="F10" s="217">
        <f>D10-E10</f>
        <v>1068.2716320183335</v>
      </c>
      <c r="H10" s="25"/>
    </row>
    <row r="11" spans="1:8">
      <c r="A11" s="57"/>
      <c r="B11" s="57"/>
      <c r="C11" s="57"/>
      <c r="D11" s="199"/>
      <c r="E11" s="199"/>
      <c r="F11" s="199"/>
    </row>
    <row r="12" spans="1:8">
      <c r="A12" s="57"/>
      <c r="B12" s="57"/>
      <c r="C12" s="219"/>
      <c r="D12" s="220"/>
      <c r="E12" s="199"/>
      <c r="F12" s="199"/>
    </row>
    <row r="13" spans="1:8">
      <c r="A13" s="57"/>
      <c r="B13" s="221"/>
      <c r="C13" s="219"/>
      <c r="D13" s="199"/>
      <c r="E13" s="199"/>
      <c r="F13" s="199"/>
    </row>
    <row r="14" spans="1:8">
      <c r="A14" s="57"/>
      <c r="B14" s="57"/>
      <c r="C14" s="219"/>
      <c r="D14" s="199"/>
      <c r="E14" s="199"/>
      <c r="F14" s="199"/>
    </row>
    <row r="15" spans="1:8">
      <c r="A15" s="57"/>
      <c r="B15" s="57"/>
      <c r="C15" s="219"/>
      <c r="D15" s="199"/>
      <c r="E15" s="199"/>
      <c r="F15" s="199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6"/>
  <sheetViews>
    <sheetView topLeftCell="A28" workbookViewId="0">
      <selection activeCell="I40" sqref="I40"/>
    </sheetView>
  </sheetViews>
  <sheetFormatPr defaultRowHeight="15"/>
  <cols>
    <col min="3" max="3" width="60.7109375" customWidth="1"/>
    <col min="4" max="4" width="23.5703125" customWidth="1"/>
    <col min="5" max="5" width="33.42578125" customWidth="1"/>
    <col min="9" max="9" width="15.85546875" customWidth="1"/>
  </cols>
  <sheetData>
    <row r="1" spans="1:9">
      <c r="A1" s="270" t="s">
        <v>0</v>
      </c>
      <c r="B1" s="270"/>
      <c r="C1" s="270"/>
      <c r="D1" s="270"/>
      <c r="E1" s="270"/>
      <c r="F1" s="270"/>
      <c r="G1" s="270"/>
      <c r="H1" s="270"/>
      <c r="I1" s="270"/>
    </row>
    <row r="2" spans="1:9">
      <c r="A2" s="271" t="s">
        <v>1</v>
      </c>
      <c r="B2" s="271"/>
      <c r="C2" s="271"/>
      <c r="D2" s="271"/>
      <c r="E2" s="271"/>
      <c r="F2" s="271"/>
      <c r="G2" s="271"/>
      <c r="H2" s="271"/>
      <c r="I2" s="271"/>
    </row>
    <row r="3" spans="1:9">
      <c r="A3" s="33"/>
      <c r="B3" s="33"/>
      <c r="C3" s="33"/>
      <c r="D3" s="33"/>
      <c r="E3" s="33"/>
      <c r="F3" s="33"/>
      <c r="G3" s="33"/>
      <c r="H3" s="33"/>
      <c r="I3" s="33"/>
    </row>
    <row r="4" spans="1:9" ht="42.75" customHeight="1">
      <c r="A4" s="272" t="s">
        <v>148</v>
      </c>
      <c r="B4" s="272"/>
      <c r="C4" s="272"/>
      <c r="D4" s="272"/>
      <c r="E4" s="272"/>
      <c r="F4" s="33"/>
      <c r="G4" s="33"/>
      <c r="H4" s="33"/>
      <c r="I4" s="33"/>
    </row>
    <row r="5" spans="1:9" ht="18.75">
      <c r="A5" s="34"/>
      <c r="B5" s="34"/>
      <c r="C5" s="34"/>
      <c r="D5" s="35"/>
      <c r="E5" s="34"/>
      <c r="F5" s="33"/>
      <c r="G5" s="33"/>
      <c r="H5" s="33"/>
      <c r="I5" s="33"/>
    </row>
    <row r="6" spans="1:9" ht="18.75">
      <c r="A6" s="273" t="s">
        <v>120</v>
      </c>
      <c r="B6" s="273"/>
      <c r="C6" s="273"/>
      <c r="D6" s="273"/>
      <c r="E6" s="273"/>
      <c r="F6" s="33"/>
      <c r="G6" s="33"/>
      <c r="H6" s="33"/>
      <c r="I6" s="33"/>
    </row>
    <row r="7" spans="1:9" ht="18.75">
      <c r="A7" s="34"/>
      <c r="B7" s="36"/>
      <c r="C7" s="34"/>
      <c r="D7" s="37"/>
      <c r="E7" s="36"/>
      <c r="F7" s="33"/>
      <c r="G7" s="33"/>
      <c r="H7" s="33"/>
      <c r="I7" s="33"/>
    </row>
    <row r="8" spans="1:9" ht="34.5" customHeight="1" thickBot="1">
      <c r="A8" s="34">
        <v>1</v>
      </c>
      <c r="B8" s="36"/>
      <c r="C8" s="51" t="s">
        <v>121</v>
      </c>
      <c r="D8" s="38">
        <v>0</v>
      </c>
      <c r="E8" s="36"/>
      <c r="F8" s="33"/>
      <c r="G8" s="33"/>
      <c r="H8" s="33"/>
      <c r="I8" s="33"/>
    </row>
    <row r="9" spans="1:9" ht="19.5" thickTop="1">
      <c r="A9" s="36"/>
      <c r="B9" s="36"/>
      <c r="C9" s="34"/>
      <c r="D9" s="36"/>
      <c r="E9" s="36"/>
      <c r="F9" s="33"/>
      <c r="G9" s="33"/>
      <c r="H9" s="33"/>
      <c r="I9" s="33"/>
    </row>
    <row r="10" spans="1:9" ht="31.5">
      <c r="A10" s="34">
        <v>2</v>
      </c>
      <c r="B10" s="36"/>
      <c r="C10" s="34" t="s">
        <v>122</v>
      </c>
      <c r="D10" s="39" t="s">
        <v>123</v>
      </c>
      <c r="E10" s="39" t="s">
        <v>124</v>
      </c>
      <c r="F10" s="33"/>
      <c r="G10" s="33"/>
      <c r="H10" s="33"/>
      <c r="I10" s="33"/>
    </row>
    <row r="11" spans="1:9" ht="18.75">
      <c r="A11" s="34"/>
      <c r="B11" s="34"/>
      <c r="C11" s="34"/>
      <c r="D11" s="36"/>
      <c r="E11" s="36"/>
      <c r="F11" s="33"/>
      <c r="G11" s="33"/>
      <c r="H11" s="33"/>
      <c r="I11" s="33"/>
    </row>
    <row r="12" spans="1:9" ht="18.75">
      <c r="A12" s="34"/>
      <c r="B12" s="34" t="s">
        <v>125</v>
      </c>
      <c r="C12" s="40" t="s">
        <v>126</v>
      </c>
      <c r="D12" s="41">
        <f>3078545</f>
        <v>3078545</v>
      </c>
      <c r="E12" s="41">
        <f>3727260</f>
        <v>3727260</v>
      </c>
      <c r="F12" s="33"/>
      <c r="G12" s="33"/>
      <c r="H12" s="33"/>
      <c r="I12" s="33"/>
    </row>
    <row r="13" spans="1:9" ht="18.75">
      <c r="A13" s="34"/>
      <c r="B13" s="34"/>
      <c r="C13" s="40"/>
      <c r="D13" s="42"/>
      <c r="E13" s="42"/>
      <c r="F13" s="33"/>
      <c r="G13" s="33"/>
      <c r="H13" s="33"/>
      <c r="I13" s="33"/>
    </row>
    <row r="14" spans="1:9" ht="18.75">
      <c r="A14" s="34"/>
      <c r="B14" s="34" t="s">
        <v>127</v>
      </c>
      <c r="C14" s="40" t="s">
        <v>128</v>
      </c>
      <c r="D14" s="42">
        <v>371800</v>
      </c>
      <c r="E14" s="42">
        <v>1682000</v>
      </c>
      <c r="F14" s="33"/>
      <c r="G14" s="33"/>
      <c r="H14" s="33"/>
      <c r="I14" s="115">
        <f>E14+16000</f>
        <v>1698000</v>
      </c>
    </row>
    <row r="15" spans="1:9" ht="18.75">
      <c r="A15" s="34"/>
      <c r="B15" s="34"/>
      <c r="C15" s="40"/>
      <c r="D15" s="42"/>
      <c r="E15" s="42"/>
      <c r="F15" s="33"/>
      <c r="G15" s="33"/>
      <c r="H15" s="33"/>
      <c r="I15" s="33"/>
    </row>
    <row r="16" spans="1:9" ht="19.5" thickBot="1">
      <c r="A16" s="34"/>
      <c r="B16" s="34"/>
      <c r="C16" s="34" t="s">
        <v>129</v>
      </c>
      <c r="D16" s="43">
        <f>D12+D14+E12+E14</f>
        <v>8859605</v>
      </c>
      <c r="E16" s="42"/>
      <c r="F16" s="33"/>
      <c r="G16" s="33"/>
      <c r="H16" s="33"/>
      <c r="I16" s="33">
        <f>67800+304000</f>
        <v>371800</v>
      </c>
    </row>
    <row r="17" spans="1:9" ht="19.5" thickTop="1">
      <c r="A17" s="34"/>
      <c r="B17" s="34"/>
      <c r="C17" s="34"/>
      <c r="D17" s="42"/>
      <c r="E17" s="42"/>
      <c r="F17" s="33"/>
      <c r="G17" s="33"/>
      <c r="H17" s="33"/>
      <c r="I17" s="33"/>
    </row>
    <row r="18" spans="1:9" ht="19.5" thickBot="1">
      <c r="A18" s="34">
        <v>3</v>
      </c>
      <c r="B18" s="34"/>
      <c r="C18" s="34" t="s">
        <v>130</v>
      </c>
      <c r="D18" s="43">
        <f>910000</f>
        <v>910000</v>
      </c>
      <c r="E18" s="42"/>
      <c r="F18" s="33"/>
      <c r="G18" s="33"/>
      <c r="H18" s="33"/>
      <c r="I18" s="33"/>
    </row>
    <row r="19" spans="1:9" ht="19.5" thickTop="1">
      <c r="A19" s="34"/>
      <c r="B19" s="34"/>
      <c r="C19" s="34"/>
      <c r="D19" s="44"/>
      <c r="E19" s="42"/>
      <c r="F19" s="33"/>
      <c r="G19" s="33"/>
      <c r="H19" s="33"/>
      <c r="I19" s="33"/>
    </row>
    <row r="20" spans="1:9" ht="18.75">
      <c r="A20" s="273" t="s">
        <v>131</v>
      </c>
      <c r="B20" s="273"/>
      <c r="C20" s="273"/>
      <c r="D20" s="273"/>
      <c r="E20" s="273"/>
      <c r="F20" s="33"/>
      <c r="G20" s="33"/>
      <c r="H20" s="33"/>
      <c r="I20" s="115">
        <f>'USES OF FUND AS PER PIM'!E32-'SOURCES &amp; USES OF FUND ANNEX'!D16-'SOURCES &amp; USES OF FUND ANNEX'!D18-'SOURCES &amp; USES OF FUND ANNEX'!D23-D38</f>
        <v>3910999.349999994</v>
      </c>
    </row>
    <row r="21" spans="1:9" ht="19.5" thickBot="1">
      <c r="A21" s="42">
        <v>4</v>
      </c>
      <c r="B21" s="42"/>
      <c r="C21" s="42" t="s">
        <v>132</v>
      </c>
      <c r="D21" s="43">
        <f>'USES OF FUND AS PER PIM'!E73</f>
        <v>72583910.5</v>
      </c>
      <c r="E21" s="42"/>
      <c r="F21" s="33"/>
      <c r="G21" s="33"/>
      <c r="H21" s="33"/>
      <c r="I21" s="33"/>
    </row>
    <row r="22" spans="1:9" ht="19.5" thickTop="1">
      <c r="A22" s="42"/>
      <c r="B22" s="42"/>
      <c r="C22" s="42"/>
      <c r="D22" s="45"/>
      <c r="E22" s="42"/>
      <c r="F22" s="33"/>
      <c r="G22" s="33"/>
      <c r="H22" s="33"/>
      <c r="I22" s="115"/>
    </row>
    <row r="23" spans="1:9" ht="19.5" thickBot="1">
      <c r="A23" s="42">
        <v>5</v>
      </c>
      <c r="B23" s="42"/>
      <c r="C23" s="42" t="s">
        <v>133</v>
      </c>
      <c r="D23" s="43">
        <v>19308975</v>
      </c>
      <c r="E23" s="42"/>
      <c r="F23" s="33"/>
      <c r="G23" s="33"/>
      <c r="H23" s="33"/>
      <c r="I23" s="115">
        <f>'USES OF FUND AS PER PIM'!E76-'SOURCES &amp; USES OF FUND ANNEX'!D21-'SOURCES &amp; USES OF FUND ANNEX'!D35</f>
        <v>29129916.770000003</v>
      </c>
    </row>
    <row r="24" spans="1:9" ht="19.5" thickTop="1">
      <c r="A24" s="42"/>
      <c r="B24" s="42"/>
      <c r="C24" s="42"/>
      <c r="D24" s="45"/>
      <c r="E24" s="42"/>
      <c r="F24" s="33"/>
      <c r="G24" s="33"/>
      <c r="H24" s="33"/>
      <c r="I24" s="33"/>
    </row>
    <row r="25" spans="1:9" ht="19.5" thickBot="1">
      <c r="A25" s="42">
        <v>6</v>
      </c>
      <c r="B25" s="42"/>
      <c r="C25" s="42" t="s">
        <v>134</v>
      </c>
      <c r="D25" s="43"/>
      <c r="E25" s="42"/>
      <c r="F25" s="33"/>
      <c r="G25" s="33"/>
      <c r="H25" s="33"/>
      <c r="I25" s="115">
        <f>I23-'USES OF FUND AS PER PIM'!E70</f>
        <v>20286366.770000003</v>
      </c>
    </row>
    <row r="26" spans="1:9" ht="19.5" thickTop="1">
      <c r="A26" s="42"/>
      <c r="B26" s="42"/>
      <c r="C26" s="42"/>
      <c r="D26" s="44"/>
      <c r="E26" s="42"/>
      <c r="F26" s="33"/>
      <c r="G26" s="33"/>
      <c r="H26" s="33"/>
      <c r="I26" s="33"/>
    </row>
    <row r="27" spans="1:9" ht="19.5" thickBot="1">
      <c r="A27" s="44"/>
      <c r="B27" s="44"/>
      <c r="C27" s="42" t="s">
        <v>135</v>
      </c>
      <c r="D27" s="43">
        <f>D21+D23</f>
        <v>91892885.5</v>
      </c>
      <c r="E27" s="42"/>
      <c r="F27" s="33"/>
      <c r="G27" s="33"/>
      <c r="H27" s="33"/>
      <c r="I27" s="33"/>
    </row>
    <row r="28" spans="1:9" ht="19.5" thickTop="1">
      <c r="A28" s="269" t="s">
        <v>136</v>
      </c>
      <c r="B28" s="269"/>
      <c r="C28" s="269"/>
      <c r="D28" s="269"/>
      <c r="E28" s="269"/>
      <c r="F28" s="33"/>
      <c r="G28" s="33"/>
      <c r="H28" s="33" t="s">
        <v>207</v>
      </c>
      <c r="I28" s="115">
        <f>I25+'USES OF FUND AS PER PIM'!E97+'USES OF FUND AS PER PIM'!E82</f>
        <v>20542766.770000003</v>
      </c>
    </row>
    <row r="29" spans="1:9" ht="19.5" thickBot="1">
      <c r="A29" s="42">
        <v>7</v>
      </c>
      <c r="B29" s="42"/>
      <c r="C29" s="42" t="s">
        <v>137</v>
      </c>
      <c r="D29" s="43">
        <v>10295288.49</v>
      </c>
      <c r="E29" s="42"/>
      <c r="F29" s="33"/>
      <c r="G29" s="33"/>
      <c r="H29" s="33" t="s">
        <v>208</v>
      </c>
      <c r="I29" s="115">
        <f>I25+'USES OF FUND AS PER PIM'!E94+'USES OF FUND AS PER PIM'!E102+'USES OF FUND AS PER PIM'!E84+'USES OF FUND AS PER PIM'!E79+'USES OF FUND AS PER PIM'!E70</f>
        <v>31601888.200000003</v>
      </c>
    </row>
    <row r="30" spans="1:9" ht="19.5" thickTop="1">
      <c r="A30" s="42"/>
      <c r="B30" s="42"/>
      <c r="C30" s="42"/>
      <c r="D30" s="45"/>
      <c r="E30" s="42"/>
      <c r="F30" s="33"/>
      <c r="G30" s="33"/>
      <c r="H30" s="33"/>
      <c r="I30" s="33"/>
    </row>
    <row r="31" spans="1:9" ht="18.75">
      <c r="A31" s="269" t="s">
        <v>138</v>
      </c>
      <c r="B31" s="269"/>
      <c r="C31" s="269"/>
      <c r="D31" s="269"/>
      <c r="E31" s="269"/>
      <c r="F31" s="33"/>
      <c r="G31" s="33"/>
      <c r="H31" s="33"/>
      <c r="I31" s="33"/>
    </row>
    <row r="32" spans="1:9" ht="19.5" thickBot="1">
      <c r="A32" s="42">
        <v>8</v>
      </c>
      <c r="B32" s="44"/>
      <c r="C32" s="42" t="s">
        <v>139</v>
      </c>
      <c r="D32" s="46">
        <v>0</v>
      </c>
      <c r="E32" s="44"/>
      <c r="F32" s="33"/>
      <c r="G32" s="33"/>
      <c r="H32" s="33"/>
      <c r="I32" s="33"/>
    </row>
    <row r="33" spans="1:9" ht="19.5" thickTop="1">
      <c r="A33" s="42"/>
      <c r="B33" s="44"/>
      <c r="C33" s="42"/>
      <c r="D33" s="47"/>
      <c r="E33" s="44"/>
      <c r="F33" s="33"/>
      <c r="G33" s="33"/>
      <c r="H33" s="33"/>
      <c r="I33" s="33"/>
    </row>
    <row r="34" spans="1:9" ht="18.75">
      <c r="A34" s="269" t="s">
        <v>140</v>
      </c>
      <c r="B34" s="269"/>
      <c r="C34" s="269"/>
      <c r="D34" s="269"/>
      <c r="E34" s="269"/>
      <c r="F34" s="33"/>
      <c r="G34" s="33"/>
      <c r="H34" s="33"/>
      <c r="I34" s="33"/>
    </row>
    <row r="35" spans="1:9" ht="19.5" thickBot="1">
      <c r="A35" s="42">
        <v>9</v>
      </c>
      <c r="B35" s="44"/>
      <c r="C35" s="42" t="s">
        <v>141</v>
      </c>
      <c r="D35" s="46">
        <f>'USES OF FUND AS PER PIM'!E72</f>
        <v>43965214.009999998</v>
      </c>
      <c r="E35" s="44"/>
      <c r="F35" s="33"/>
      <c r="G35" s="33"/>
      <c r="H35" s="33"/>
      <c r="I35" s="33"/>
    </row>
    <row r="36" spans="1:9" ht="19.5" thickTop="1">
      <c r="A36" s="42"/>
      <c r="B36" s="44"/>
      <c r="C36" s="42"/>
      <c r="D36" s="44"/>
      <c r="E36" s="44"/>
      <c r="F36" s="33"/>
      <c r="G36" s="33"/>
      <c r="H36" s="33"/>
      <c r="I36" s="33"/>
    </row>
    <row r="37" spans="1:9" ht="18.75">
      <c r="A37" s="268" t="s">
        <v>142</v>
      </c>
      <c r="B37" s="268"/>
      <c r="C37" s="268"/>
      <c r="D37" s="268"/>
      <c r="E37" s="268"/>
      <c r="F37" s="33"/>
      <c r="G37" s="33"/>
      <c r="H37" s="33"/>
      <c r="I37" s="33"/>
    </row>
    <row r="38" spans="1:9" ht="19.5" thickBot="1">
      <c r="A38" s="42">
        <v>10</v>
      </c>
      <c r="B38" s="48"/>
      <c r="C38" s="48" t="s">
        <v>143</v>
      </c>
      <c r="D38" s="49">
        <v>26000000</v>
      </c>
      <c r="E38" s="42"/>
      <c r="F38" s="33"/>
      <c r="G38" s="33"/>
      <c r="H38" s="33"/>
      <c r="I38" s="33"/>
    </row>
    <row r="39" spans="1:9" ht="19.5" thickTop="1">
      <c r="A39" s="42"/>
      <c r="B39" s="48"/>
      <c r="C39" s="48"/>
      <c r="D39" s="50"/>
      <c r="E39" s="42"/>
      <c r="F39" s="33"/>
      <c r="G39" s="33"/>
      <c r="H39" s="33"/>
      <c r="I39" s="33"/>
    </row>
    <row r="40" spans="1:9" ht="18.75">
      <c r="A40" s="269" t="s">
        <v>144</v>
      </c>
      <c r="B40" s="269"/>
      <c r="C40" s="269"/>
      <c r="D40" s="269"/>
      <c r="E40" s="269"/>
      <c r="F40" s="33"/>
      <c r="G40" s="33"/>
      <c r="H40" s="33"/>
      <c r="I40" s="33"/>
    </row>
    <row r="41" spans="1:9" ht="19.5" thickBot="1">
      <c r="A41" s="42">
        <v>11</v>
      </c>
      <c r="B41" s="44"/>
      <c r="C41" s="42" t="s">
        <v>145</v>
      </c>
      <c r="D41" s="46">
        <v>20542766.77</v>
      </c>
      <c r="E41" s="44"/>
      <c r="F41" s="33"/>
      <c r="G41" s="33"/>
      <c r="H41" s="33"/>
      <c r="I41" s="33"/>
    </row>
    <row r="42" spans="1:9" ht="19.5" thickTop="1">
      <c r="A42" s="42"/>
      <c r="B42" s="44"/>
      <c r="C42" s="42"/>
      <c r="D42" s="44"/>
      <c r="E42" s="44"/>
      <c r="F42" s="33"/>
      <c r="G42" s="33"/>
      <c r="H42" s="33"/>
      <c r="I42" s="33"/>
    </row>
    <row r="43" spans="1:9" ht="19.5" thickBot="1">
      <c r="A43" s="42">
        <v>12</v>
      </c>
      <c r="B43" s="42"/>
      <c r="C43" s="42" t="s">
        <v>146</v>
      </c>
      <c r="D43" s="43">
        <v>31601888.199999999</v>
      </c>
      <c r="E43" s="42"/>
      <c r="F43" s="33"/>
      <c r="G43" s="33"/>
      <c r="H43" s="33"/>
      <c r="I43" s="33"/>
    </row>
    <row r="44" spans="1:9" ht="19.5" thickTop="1">
      <c r="A44" s="44"/>
      <c r="B44" s="42"/>
      <c r="C44" s="44"/>
      <c r="D44" s="44"/>
      <c r="E44" s="42"/>
      <c r="F44" s="33"/>
      <c r="G44" s="33"/>
      <c r="H44" s="33"/>
      <c r="I44" s="33"/>
    </row>
    <row r="45" spans="1:9" ht="19.5" thickBot="1">
      <c r="A45" s="44"/>
      <c r="B45" s="42"/>
      <c r="C45" s="42" t="s">
        <v>147</v>
      </c>
      <c r="D45" s="43">
        <f>D43+D41+D38+D35+D29+D27+D18+D16</f>
        <v>234067647.96999997</v>
      </c>
      <c r="E45" s="42"/>
      <c r="F45" s="33"/>
      <c r="G45" s="33"/>
      <c r="H45" s="33"/>
      <c r="I45" s="33"/>
    </row>
    <row r="46" spans="1:9" ht="19.5" thickTop="1">
      <c r="A46" s="36"/>
      <c r="B46" s="36"/>
      <c r="C46" s="36"/>
      <c r="D46" s="36"/>
      <c r="E46" s="36"/>
      <c r="F46" s="33"/>
      <c r="G46" s="33"/>
      <c r="H46" s="33"/>
      <c r="I46" s="33"/>
    </row>
  </sheetData>
  <mergeCells count="10">
    <mergeCell ref="A37:E37"/>
    <mergeCell ref="A40:E40"/>
    <mergeCell ref="A1:I1"/>
    <mergeCell ref="A2:I2"/>
    <mergeCell ref="A4:E4"/>
    <mergeCell ref="A6:E6"/>
    <mergeCell ref="A20:E20"/>
    <mergeCell ref="A28:E28"/>
    <mergeCell ref="A31:E31"/>
    <mergeCell ref="A34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USES OF FUND AS PER PIM</vt:lpstr>
      <vt:lpstr>SOURCES AND USE OF FUND</vt:lpstr>
      <vt:lpstr>EEP STATEMENT</vt:lpstr>
      <vt:lpstr>DLI STATEMENTS</vt:lpstr>
      <vt:lpstr>SOURCES &amp; USES OF FUND ANNEX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</dc:creator>
  <cp:lastModifiedBy>HP20</cp:lastModifiedBy>
  <dcterms:created xsi:type="dcterms:W3CDTF">2018-10-12T10:56:13Z</dcterms:created>
  <dcterms:modified xsi:type="dcterms:W3CDTF">2018-10-19T12:20:46Z</dcterms:modified>
</cp:coreProperties>
</file>